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45" windowWidth="9690" windowHeight="5010" tabRatio="664" activeTab="1"/>
  </bookViews>
  <sheets>
    <sheet name="Test Conditions" sheetId="1" r:id="rId1"/>
    <sheet name="EDI 814 Field Mapping" sheetId="2" r:id="rId2"/>
    <sheet name="Test Customer Information" sheetId="3" r:id="rId3"/>
    <sheet name="Test Bill Cycle Calendar" sheetId="4" r:id="rId4"/>
    <sheet name="Test Rate Tables" sheetId="5" r:id="rId5"/>
    <sheet name="Category 814" sheetId="6" r:id="rId6"/>
    <sheet name="Category 810" sheetId="7" r:id="rId7"/>
    <sheet name="Category 820" sheetId="8" r:id="rId8"/>
    <sheet name="Category 810 Low Income Reimb" sheetId="9" r:id="rId9"/>
    <sheet name="Category 867" sheetId="10" r:id="rId10"/>
    <sheet name="Category 824" sheetId="11" r:id="rId11"/>
    <sheet name="File 1A" sheetId="12" r:id="rId12"/>
    <sheet name="File 2A" sheetId="13" r:id="rId13"/>
    <sheet name="File 1B" sheetId="14" r:id="rId14"/>
    <sheet name="File 2B" sheetId="15" r:id="rId15"/>
    <sheet name="File 3B" sheetId="16" r:id="rId16"/>
    <sheet name="File 4B" sheetId="17" r:id="rId17"/>
    <sheet name="LDC Account Table" sheetId="18" r:id="rId18"/>
    <sheet name="Supplier Account Table" sheetId="19" r:id="rId19"/>
    <sheet name="Service Id Table" sheetId="20" r:id="rId20"/>
  </sheets>
  <definedNames>
    <definedName name="_xlnm._FilterDatabase" localSheetId="5" hidden="1">'Category 814'!$B$1:$B$85</definedName>
    <definedName name="August">'Test Bill Cycle Calendar'!$A$30:$C$49</definedName>
    <definedName name="Customer_File">'Test Customer Information'!$A$1:$Z$28</definedName>
    <definedName name="File_Dates">'Test Bill Cycle Calendar'!$A$2:$B$7</definedName>
    <definedName name="Format_1_Table">'Category 814'!$A$5:$AI$84</definedName>
    <definedName name="Format_2_Table">'Category 810'!$A$5:$AS$25</definedName>
    <definedName name="format_3_table">'Category 820'!$A$5:$P$10</definedName>
    <definedName name="Format_5_Table">'Category 810 Low Income Reimb'!$A$5:$Z$5</definedName>
    <definedName name="Format_6_Table">'Category 867'!$A$5:$CI$6</definedName>
    <definedName name="Int_Rate">'Test Rate Tables'!$D$11</definedName>
    <definedName name="July">'Test Bill Cycle Calendar'!$A$10:$C$29</definedName>
    <definedName name="_xlnm.Print_Area" localSheetId="6">'Category 810'!$B$1:$AS$25</definedName>
    <definedName name="_xlnm.Print_Area" localSheetId="5">'Category 814'!$B$1:$AI$84</definedName>
    <definedName name="_xlnm.Print_Area" localSheetId="7">'Category 820'!$B$1:$P$12</definedName>
    <definedName name="_xlnm.Print_Area" localSheetId="11">'File 1A'!$B$3:$AD$29</definedName>
    <definedName name="_xlnm.Print_Area" localSheetId="13">'File 1B'!$A$3:$BT$40</definedName>
    <definedName name="_xlnm.Print_Area" localSheetId="12">'File 2A'!$A$2:$BB$18</definedName>
    <definedName name="_xlnm.Print_Area" localSheetId="14">'File 2B'!$A$2:$AN$30</definedName>
    <definedName name="_xlnm.Print_Area" localSheetId="15">'File 3B'!$A$2:$AN$31</definedName>
    <definedName name="_xlnm.Print_Area" localSheetId="16">'File 4B'!$A$2:$L$17</definedName>
    <definedName name="_xlnm.Print_Area" localSheetId="17">'LDC Account Table'!$A$4:$C$31</definedName>
    <definedName name="_xlnm.Print_Area" localSheetId="19">'Service Id Table'!$A$1:$D$47</definedName>
    <definedName name="_xlnm.Print_Area" localSheetId="18">'Supplier Account Table'!$A$4:$C$30</definedName>
    <definedName name="_xlnm.Print_Area" localSheetId="3">'Test Bill Cycle Calendar'!$A$1:$K$69</definedName>
    <definedName name="_xlnm.Print_Area" localSheetId="0">'Test Conditions'!$A$1:$F$41</definedName>
    <definedName name="_xlnm.Print_Area" localSheetId="2">'Test Customer Information'!$A$1:$R$28</definedName>
    <definedName name="_xlnm.Print_Titles" localSheetId="6">'Category 810'!$B:$E,'Category 810'!$1:$4</definedName>
    <definedName name="_xlnm.Print_Titles" localSheetId="5">'Category 814'!$B:$E,'Category 814'!$1:$4</definedName>
    <definedName name="_xlnm.Print_Titles" localSheetId="19">'Service Id Table'!$1:$1</definedName>
    <definedName name="_xlnm.Print_Titles" localSheetId="2">'Test Customer Information'!$A:$A,'Test Customer Information'!$1:$1</definedName>
    <definedName name="Process_Date">'Test Bill Cycle Calendar'!$A$2:$B$7</definedName>
    <definedName name="Rate_Key">'Category 810'!$AU$5:$AU$24</definedName>
    <definedName name="Rate_Table">'Test Rate Tables'!$A$2:$L$7</definedName>
    <definedName name="September">'Test Bill Cycle Calendar'!$A$50:$C$69</definedName>
    <definedName name="Tax_Rate">'Test Rate Tables'!$C$11</definedName>
  </definedNames>
  <calcPr fullCalcOnLoad="1"/>
</workbook>
</file>

<file path=xl/sharedStrings.xml><?xml version="1.0" encoding="utf-8"?>
<sst xmlns="http://schemas.openxmlformats.org/spreadsheetml/2006/main" count="3994" uniqueCount="826">
  <si>
    <t>Test Condition Reference</t>
  </si>
  <si>
    <t>Mandatory
or
LDC-specific</t>
  </si>
  <si>
    <t>Files</t>
  </si>
  <si>
    <t>Account
Numbers
LDC/Supplier</t>
  </si>
  <si>
    <t>Test Condition Description</t>
  </si>
  <si>
    <t>Expected Results</t>
  </si>
  <si>
    <t>A-001</t>
  </si>
  <si>
    <t>M</t>
  </si>
  <si>
    <t>1A
1B</t>
  </si>
  <si>
    <t>D0000000000001
S0000000000001</t>
  </si>
  <si>
    <t>Valid enrollment received at least two days prior to the next scheduled cycle reading date; enroll the customer effective with the next month.  This is for a residential customer; single metered service, Complete Bill option, public aggregation.</t>
  </si>
  <si>
    <t>Enrollment transaction should be accepted; return a Succesful Enrollment transaction to the supplier with completion code 100; Effective date is the upcoming July cycle read date.</t>
  </si>
  <si>
    <t>A-002</t>
  </si>
  <si>
    <t>D0000000000002
S0000000000002</t>
  </si>
  <si>
    <t>Valid enrollment received the same day as the scheduled cycle meter reading.  Queue the enrollment for the following month.  Residential customer; single metered service, Pass-through Bill option.</t>
  </si>
  <si>
    <t>Enrollment transaction should be accepted; return a Successful Enrollment transaction to the supplier with completion code 100; Effective date is the following month (August) cycle read date.</t>
  </si>
  <si>
    <t>A-003</t>
  </si>
  <si>
    <t>D9999999999999
S0000000000003</t>
  </si>
  <si>
    <t>Enrollment rejected due to mismatch on LDC Account Number.</t>
  </si>
  <si>
    <t>Return Unsuccessful Enrollment transaction to the supplier with completion code 103</t>
  </si>
  <si>
    <t>A-004</t>
  </si>
  <si>
    <t>DS</t>
  </si>
  <si>
    <t>D0000000000003
S0000000000004</t>
  </si>
  <si>
    <t>Valid enrollment for an account with multiple services (2nd service is lighting).  All services are being enrolled under the same rate and price.  LDC-specific:  LDCs may or may not support multiple services and may or may not allow a mix of services</t>
  </si>
  <si>
    <t>Enrollment transaction should be accepted.  Return a Successful Enrollment transaction for each service on the account (one metered, one lighting) with completion code 100.  Both services on the same rate/price.</t>
  </si>
  <si>
    <t>A-005</t>
  </si>
  <si>
    <t>D0000000000004
S0000000000005</t>
  </si>
  <si>
    <t>Valid enrollment (except for Sales Tax indicator); account with multiple metered services.  Each service is enrolled with a unique rate and price.  LDC-specific:  Multi-service does not apply to all LDCs; LDCs may handle Sales Tax differently.</t>
  </si>
  <si>
    <t>Enrollment transaction should be accepted depending on LDC handling of Sales Tax.  If accepted, return separate Succesful Enrollment transactions for each service showing the rate/price.  If rejected due to the Sales Tax coding, return error code 114.</t>
  </si>
  <si>
    <t>A-006</t>
  </si>
  <si>
    <t>D0000000000005
S0000000000006</t>
  </si>
  <si>
    <t>Enrollment for an account with multiple services; each service is being enrolled with a unique rate and price.  One of the enrollment transactions contains an error (service identifier doesn't match LDC records).  Reject the entire set of transactions.</t>
  </si>
  <si>
    <t>Return Unsuccesful Enrollment for both services - completion code 112 for the one that failed and 166 for the related service..
Note:  This scenario does not apply to all LDCs.</t>
  </si>
  <si>
    <t>A-007</t>
  </si>
  <si>
    <t>1A, 2A
1B, 2B</t>
  </si>
  <si>
    <t>D0000000000006
S0000000000007</t>
  </si>
  <si>
    <t>Enrollment one day followed by a Drop the next day, but prior to the next scheduled reading (customer changes his/her mind).  Service should not be switched.</t>
  </si>
  <si>
    <t xml:space="preserve">The initial enrollment is accepted and a Successful Enrollment is returned.  The Drop is also accepted and a Drop Confirmation is returned to the supplier. </t>
  </si>
  <si>
    <t>A-008</t>
  </si>
  <si>
    <t>1A, 1B
2A
2B</t>
  </si>
  <si>
    <t>D0000000000008
S0000000000008</t>
  </si>
  <si>
    <t>Drop transaction for residential customer with requested read date filled in.  The requested date is ignored (regulations dictate that these transactions work on-cycle) and the drop is effective after the next regular cycle.</t>
  </si>
  <si>
    <t>The Drop should be accepted.  Drop Confirmation is returned to the supplier indicating the effective date of the drop (next scheduled cycle).</t>
  </si>
  <si>
    <t>A-009</t>
  </si>
  <si>
    <t>This test condition has been removed from the test plan.</t>
  </si>
  <si>
    <t>A-010</t>
  </si>
  <si>
    <t>2A
2B</t>
  </si>
  <si>
    <t>Supplier drops customer.  It is less than 2 days prior to the next cycle, so the drop transaction will be effective after next cycle reading.</t>
  </si>
  <si>
    <t>The Drop should be accepted.  The Drop confirmation that is returned will show the next scheduled read date as the effective date of the drop.</t>
  </si>
  <si>
    <t>A-011</t>
  </si>
  <si>
    <t>2B</t>
  </si>
  <si>
    <t>LDC changes the account number.  LDC-specific: Some LDCs do not change account numbers except when the customer moves.</t>
  </si>
  <si>
    <t>The Supplier should update their records with the new account number.  Subsequent transactions should use the new account number.</t>
  </si>
  <si>
    <t>A-012</t>
  </si>
  <si>
    <t>D000000000002A
S0000000000002</t>
  </si>
  <si>
    <t>LDC changes the bill cycle and meter number.</t>
  </si>
  <si>
    <t>The Supplier should update the bill cycle and meter number.  Subsequent transactions should use the new cycle and meter number.</t>
  </si>
  <si>
    <t>A-013</t>
  </si>
  <si>
    <t>Customer on the Complete bill option moves within LDC service territory.  Note variation in format of address (apartment number is imbedded in line 1).  Also note that A-015 affected the price structure.</t>
  </si>
  <si>
    <t>LDC sends a Move transaction and a final Usage and Billing transaction (Activity Code 3).  The Move transaction identifies the customers' new account number, service id (meter), cycle and billing address.</t>
  </si>
  <si>
    <t>A-014</t>
  </si>
  <si>
    <t>Customer on Pass-Through bill option moves outside LDC service territory.</t>
  </si>
  <si>
    <t>LDC sends a Drop transaction and a final Usage transaction (Note:  This is the same action that would be taken if customer called LDC to drop the supplier).</t>
  </si>
  <si>
    <t>A-015</t>
  </si>
  <si>
    <t>2A</t>
  </si>
  <si>
    <t>Supplier changes price structure.  New price structure must be valid and the customer must be on the Complete Billing option.</t>
  </si>
  <si>
    <t>LDC should accept the Change transaction and update the Price Structure.  No confirmation is returned but the next billing record should use the new price structure.</t>
  </si>
  <si>
    <t>A-016</t>
  </si>
  <si>
    <t>A-017</t>
  </si>
  <si>
    <t>Customer currently getting separate bills (Pass-through) wants one bill.  Supplier sends a change to the billing option, but doesn't specify the rate and price structure.</t>
  </si>
  <si>
    <t>The Change transaction should be rejected.  LDC should return an error record with two error codes in the Completion Code field:  Code 109 (Invalid Rate Code) and Code 110 (Invalid Price Structure)</t>
  </si>
  <si>
    <t>A-018</t>
  </si>
  <si>
    <t>Enrollment submitted for an account that is already pending enrollment.</t>
  </si>
  <si>
    <t>The Enrollment should be rejected.  An Unsuccessful Enrollment transaction is returned with Completion Code = 167</t>
  </si>
  <si>
    <t>B-001</t>
  </si>
  <si>
    <t>1A,1B
3B</t>
  </si>
  <si>
    <t>D0000000000009
S0000000000009</t>
  </si>
  <si>
    <t>Customer on Pass-through option; single service account - regular cycle bill.</t>
  </si>
  <si>
    <t>LDC sends Usage record (Activity Code 0)</t>
  </si>
  <si>
    <t>B-002</t>
  </si>
  <si>
    <t>D0000000000010
S0000000000010</t>
  </si>
  <si>
    <t>Customer on Pass-through option; multiple metered services on account - regular cycle bill.  LDC-specific:  LDC may not support multiple services.</t>
  </si>
  <si>
    <t>LDC sends a Usage record for each service on the account (Activity Code 0)</t>
  </si>
  <si>
    <t>B-003</t>
  </si>
  <si>
    <t>D0000000000011
S0000000000011</t>
  </si>
  <si>
    <t>Customer on Complete bill option; single service account - regular cycle bill.</t>
  </si>
  <si>
    <t>LDC sends Usage and Billing record (Activity Code 0)</t>
  </si>
  <si>
    <t>B-004</t>
  </si>
  <si>
    <t>D0000000000012
S0000000000012</t>
  </si>
  <si>
    <t>Customer on Complete bill option; multiple metered services on account - regular cycle bill.  LDC-specific:  This scenario does not apply to all LDCs.</t>
  </si>
  <si>
    <t>LDC sends Usage and Billing record for each service on the account.  The last record in the set contains the total amounts.  Activity Codes are = 0.</t>
  </si>
  <si>
    <t>B-005</t>
  </si>
  <si>
    <t>D0000000000013
S0000000000013</t>
  </si>
  <si>
    <t>Estimated consumption (Pass-through)</t>
  </si>
  <si>
    <t>LDC sends Usage record; Activity Code = 6</t>
  </si>
  <si>
    <t>B-006</t>
  </si>
  <si>
    <t>D0000000000014
S0000000000014</t>
  </si>
  <si>
    <t>Estimated consumption (Complete bill)</t>
  </si>
  <si>
    <t>LDC sends Usage and Billing record; Activity Code = 6</t>
  </si>
  <si>
    <t>B-007</t>
  </si>
  <si>
    <t>D0000000000015
S0000000000015</t>
  </si>
  <si>
    <t>Customer LDCnnected by LDC (Final Bill)</t>
  </si>
  <si>
    <t>LDC sends Usage and Billing record; Activity Code = 3.  A Drop transaction is not sent.</t>
  </si>
  <si>
    <t>B-008</t>
  </si>
  <si>
    <t>D0000000000016
S0000000000016</t>
  </si>
  <si>
    <t>Time of use (kwh and demand) - Pass-Through option</t>
  </si>
  <si>
    <t>LDC sends Usage and Billing record with on and off peak fields filled in.</t>
  </si>
  <si>
    <t>B-009</t>
  </si>
  <si>
    <t>D0000000000017
S0000000000017</t>
  </si>
  <si>
    <t>Primary metering</t>
  </si>
  <si>
    <t>LDC sends Usage and Billing record with Primary Metering indicator = Y</t>
  </si>
  <si>
    <t>B-010</t>
  </si>
  <si>
    <t>D0000000000018
S0000000000018</t>
  </si>
  <si>
    <t>Late payment charge - Supplier Arrears = $50.00</t>
  </si>
  <si>
    <t>LDC sends Usage and Billing record with Supplier Arrears and Late Payment Charge fields filled in</t>
  </si>
  <si>
    <t>B-011</t>
  </si>
  <si>
    <t>D0000000000019
S0000000000019</t>
  </si>
  <si>
    <t>Unmetered service bill.  LDC-specific:  Some LDC systems may not provide the number of unmetered units.</t>
  </si>
  <si>
    <t>LDC sends Usage and Billing record with Number of Unmetered Units filled in</t>
  </si>
  <si>
    <t>B-012</t>
  </si>
  <si>
    <t>D0000000000020
S0000000000020</t>
  </si>
  <si>
    <t>Cancel and rebill (single service account) - net effect is to reduce previous consumption by 200kwh.  Original bill was for 500kwh; revised bill is for 300kwh.</t>
  </si>
  <si>
    <t>LDC sends two Usage and Billing records:  one that reflects the adjustment (Activity Code = 1) and one that reflects the rebilling (Activity Code = 4).  Note that the values in the adjustment transaction are not negated.</t>
  </si>
  <si>
    <t>C-001</t>
  </si>
  <si>
    <t>4B</t>
  </si>
  <si>
    <t xml:space="preserve">Customer makes full payment.  </t>
  </si>
  <si>
    <t>LDC sends a Payment record that shows the suppliers' portion of the payment.  The supplier should add this amount (it is signed) to the customer's balance.</t>
  </si>
  <si>
    <t>C-002</t>
  </si>
  <si>
    <t>Customer makes partial payment which exceeds the amount owed to the distribution company.</t>
  </si>
  <si>
    <t>LDC sends a Payment record that shows the supplier's portion of the payment. The supplier should add this amount (it is signed) to the customer's balance.</t>
  </si>
  <si>
    <t>C-003</t>
  </si>
  <si>
    <t>Customer has switched suppliers, but has an arrears amount due to the original supplier.  The arrears amount has appeared on two bills (assumed) since the customer switched.  This adjustment will settle the account.</t>
  </si>
  <si>
    <t>LDC sends an Adjustment record with the amount of the arrears owed to the supplier by the customer.  Note that this is an "information only" record between the LDC and supplier and does not change the amount owed by the customer.</t>
  </si>
  <si>
    <t>C-004</t>
  </si>
  <si>
    <t>3B, 4B</t>
  </si>
  <si>
    <t xml:space="preserve">Returned check. </t>
  </si>
  <si>
    <t>LDC sends an Adjustment record with the returned check amount.  The supplier should add this amount to the customer's balance.</t>
  </si>
  <si>
    <t>H-001</t>
  </si>
  <si>
    <t>1A, 1B</t>
  </si>
  <si>
    <t xml:space="preserve">D0000000000012
</t>
  </si>
  <si>
    <t>Supplier requests usage history</t>
  </si>
  <si>
    <t>LDC returns 12 months of history if available (the test case assumes a full 12 months)</t>
  </si>
  <si>
    <t>L-001</t>
  </si>
  <si>
    <t>2A,2B</t>
  </si>
  <si>
    <t>D0000000000022
S0000000000022</t>
  </si>
  <si>
    <t>Supplier requests payment under the Low Income Payment Guarantee.  It is assumed that the account was previously enrolled and dropped.</t>
  </si>
  <si>
    <t>The test case assumes that the request transaction is valid.  The LDC returns a payment record (Transaction # 12)</t>
  </si>
  <si>
    <t>SUPPLIER TO DISTRIBUTION COMPANY</t>
  </si>
  <si>
    <t>DISTRIBUTION COMPANY TO SUPPLIER</t>
  </si>
  <si>
    <t>Enroll</t>
  </si>
  <si>
    <t>Change Enroll</t>
  </si>
  <si>
    <t>Supplier Drops Customer</t>
  </si>
  <si>
    <t>Hist Usage Request</t>
  </si>
  <si>
    <t>Success Enroll Response</t>
  </si>
  <si>
    <t>Customer Move</t>
  </si>
  <si>
    <t>Enroll Error Response</t>
  </si>
  <si>
    <t>Change Error Response</t>
  </si>
  <si>
    <t>Drop Error Response</t>
  </si>
  <si>
    <t>Customer Drops Supplier</t>
  </si>
  <si>
    <t>Confirm Drop</t>
  </si>
  <si>
    <t>Hist Usage Error Response</t>
  </si>
  <si>
    <t>EDI Element</t>
  </si>
  <si>
    <t>BGN01</t>
  </si>
  <si>
    <t>06</t>
  </si>
  <si>
    <t>LIN02</t>
  </si>
  <si>
    <t>SH</t>
  </si>
  <si>
    <t>SV</t>
  </si>
  <si>
    <t>LIN05</t>
  </si>
  <si>
    <t>CE</t>
  </si>
  <si>
    <t>HU</t>
  </si>
  <si>
    <t>ASI01</t>
  </si>
  <si>
    <t>WQ</t>
  </si>
  <si>
    <t>U</t>
  </si>
  <si>
    <t>V</t>
  </si>
  <si>
    <t>ASI02</t>
  </si>
  <si>
    <t>021</t>
  </si>
  <si>
    <t>001</t>
  </si>
  <si>
    <t>024</t>
  </si>
  <si>
    <t>066</t>
  </si>
  <si>
    <t>025</t>
  </si>
  <si>
    <t>CIS DTL REC IND</t>
  </si>
  <si>
    <t>E</t>
  </si>
  <si>
    <t>C</t>
  </si>
  <si>
    <t>D</t>
  </si>
  <si>
    <t>H</t>
  </si>
  <si>
    <t>X</t>
  </si>
  <si>
    <t>Y</t>
  </si>
  <si>
    <t>Z</t>
  </si>
  <si>
    <t>F</t>
  </si>
  <si>
    <t>LDC Account Number</t>
  </si>
  <si>
    <t>First Name</t>
  </si>
  <si>
    <t>Last Name</t>
  </si>
  <si>
    <t>Additional Name
or
Name Info</t>
  </si>
  <si>
    <t>Address Line 1</t>
  </si>
  <si>
    <t>Address Line 2</t>
  </si>
  <si>
    <t>City/ST/Postal Code</t>
  </si>
  <si>
    <t>Customer Type</t>
  </si>
  <si>
    <t>Bill Cycle</t>
  </si>
  <si>
    <t>Sales Tax</t>
  </si>
  <si>
    <t>Type of Service #1</t>
  </si>
  <si>
    <t>Primary
Metering #1</t>
  </si>
  <si>
    <t>LDC Rate
Service #1</t>
  </si>
  <si>
    <t>Service ID
Service #1</t>
  </si>
  <si>
    <t>Type of Service #2</t>
  </si>
  <si>
    <t>Primary
Metering #2</t>
  </si>
  <si>
    <t>LDC Rate
Service #2</t>
  </si>
  <si>
    <t>Service ID
Service #2</t>
  </si>
  <si>
    <t>Type of Service #3</t>
  </si>
  <si>
    <t>LDC Rate
Service #3</t>
  </si>
  <si>
    <t>Service ID
Service #3</t>
  </si>
  <si>
    <t>Type of Service #4</t>
  </si>
  <si>
    <t>LDC Rate
Service #4</t>
  </si>
  <si>
    <t>Service ID
Service #4</t>
  </si>
  <si>
    <t>D0000000000001</t>
  </si>
  <si>
    <t>SAM</t>
  </si>
  <si>
    <t>JOHNSON</t>
  </si>
  <si>
    <t xml:space="preserve"> </t>
  </si>
  <si>
    <t>101 MAIN STREET</t>
  </si>
  <si>
    <t>TOWN MA 99999</t>
  </si>
  <si>
    <t>Residential</t>
  </si>
  <si>
    <t>N</t>
  </si>
  <si>
    <t>R-1</t>
  </si>
  <si>
    <t>D0000000000002</t>
  </si>
  <si>
    <t>JOE</t>
  </si>
  <si>
    <t>SMITH</t>
  </si>
  <si>
    <t>504 EAST STREET</t>
  </si>
  <si>
    <t>APT 27</t>
  </si>
  <si>
    <t>D0000000000003</t>
  </si>
  <si>
    <t>BETSY</t>
  </si>
  <si>
    <t>ADAMS</t>
  </si>
  <si>
    <t>5 SOUTH STREET</t>
  </si>
  <si>
    <t>OLDTOWN MA 99999</t>
  </si>
  <si>
    <t>L</t>
  </si>
  <si>
    <t>D000000000003A</t>
  </si>
  <si>
    <t>3 PORRIDGE ST APT 8</t>
  </si>
  <si>
    <t>NEWTOWN MA 99999</t>
  </si>
  <si>
    <t>D0000000000004</t>
  </si>
  <si>
    <t>WILLY</t>
  </si>
  <si>
    <t>WILLIAMS</t>
  </si>
  <si>
    <t>DBA WILL &amp; CO</t>
  </si>
  <si>
    <t>100 STREET NAME</t>
  </si>
  <si>
    <t>Commercial</t>
  </si>
  <si>
    <t>G-0</t>
  </si>
  <si>
    <t>R-2</t>
  </si>
  <si>
    <t>D0000000000005</t>
  </si>
  <si>
    <t>ELVIRA</t>
  </si>
  <si>
    <t>ENDICOTT</t>
  </si>
  <si>
    <t>DBA SERVICE IS US</t>
  </si>
  <si>
    <t>101 STREET NAME</t>
  </si>
  <si>
    <t>D0000000000006</t>
  </si>
  <si>
    <t>SONNY</t>
  </si>
  <si>
    <t>ZURCHOW</t>
  </si>
  <si>
    <t>DBA JED'S DELI</t>
  </si>
  <si>
    <t>102 STREET NAME</t>
  </si>
  <si>
    <t>D000000000002A</t>
  </si>
  <si>
    <t>103 STREET NAME</t>
  </si>
  <si>
    <t>2ND FLOOR</t>
  </si>
  <si>
    <t>D0000000000007</t>
  </si>
  <si>
    <t>BILL</t>
  </si>
  <si>
    <t>BILLINGS</t>
  </si>
  <si>
    <t>DBA REPO MAN</t>
  </si>
  <si>
    <t>104 STREET NAME</t>
  </si>
  <si>
    <t>D0000000000008</t>
  </si>
  <si>
    <t>ROCKY</t>
  </si>
  <si>
    <t>SANDSTROM</t>
  </si>
  <si>
    <t>105 STREET NAME</t>
  </si>
  <si>
    <t>D0000000000009</t>
  </si>
  <si>
    <t>CURLY</t>
  </si>
  <si>
    <t>CURMUDGEON</t>
  </si>
  <si>
    <t>106 STREET NAME</t>
  </si>
  <si>
    <t>D0000000000010</t>
  </si>
  <si>
    <t>OLIVIA</t>
  </si>
  <si>
    <t>OGILVY</t>
  </si>
  <si>
    <t>DBA LIVY'S LIVERY</t>
  </si>
  <si>
    <t>107 STREET NAME</t>
  </si>
  <si>
    <t>D0000000000011</t>
  </si>
  <si>
    <t>CRABBY</t>
  </si>
  <si>
    <t>CRANSTON</t>
  </si>
  <si>
    <t>108 STREET NAME</t>
  </si>
  <si>
    <t>D0000000000012</t>
  </si>
  <si>
    <t>IBM</t>
  </si>
  <si>
    <t>CORP DIVISION</t>
  </si>
  <si>
    <t>109 STREET NAME</t>
  </si>
  <si>
    <t>BLDG 7</t>
  </si>
  <si>
    <t>G-1</t>
  </si>
  <si>
    <t>D0000000000013</t>
  </si>
  <si>
    <t>EL NINO</t>
  </si>
  <si>
    <t>110 STREET NAME</t>
  </si>
  <si>
    <t>D0000000000014</t>
  </si>
  <si>
    <t>WINSTON</t>
  </si>
  <si>
    <t>111 STREET NAME</t>
  </si>
  <si>
    <t>D0000000000015</t>
  </si>
  <si>
    <t>ELLINGTON</t>
  </si>
  <si>
    <t>112 STREET NAME</t>
  </si>
  <si>
    <t>D0000000000016</t>
  </si>
  <si>
    <t>DONALDSON'S</t>
  </si>
  <si>
    <t>113 STREET NAME</t>
  </si>
  <si>
    <t>T</t>
  </si>
  <si>
    <t>TOU</t>
  </si>
  <si>
    <t>D0000000000017</t>
  </si>
  <si>
    <t>JOSEPH</t>
  </si>
  <si>
    <t>WIGGINS</t>
  </si>
  <si>
    <t>DBA FISH HOUSE</t>
  </si>
  <si>
    <t>114 STREET NAME</t>
  </si>
  <si>
    <t>D0000000000018</t>
  </si>
  <si>
    <t>TURCOTT'S AUTO SHOP</t>
  </si>
  <si>
    <t>ROADSHOP</t>
  </si>
  <si>
    <t>115 STREET NAME</t>
  </si>
  <si>
    <t>D0000000000019</t>
  </si>
  <si>
    <t>JONES REALTY</t>
  </si>
  <si>
    <t>COMMERCIAL PROPERTIES</t>
  </si>
  <si>
    <t>116 STREET NAME</t>
  </si>
  <si>
    <t>D0000000000020</t>
  </si>
  <si>
    <t>EASTON</t>
  </si>
  <si>
    <t>117 STREET NAME</t>
  </si>
  <si>
    <t>D0000000000021</t>
  </si>
  <si>
    <t>PLUMBER</t>
  </si>
  <si>
    <t>118 STREET NAME</t>
  </si>
  <si>
    <t>D0000000000022</t>
  </si>
  <si>
    <t>ASTOR</t>
  </si>
  <si>
    <t>119 STREET NAME</t>
  </si>
  <si>
    <t>D0000000000023</t>
  </si>
  <si>
    <t>GRAYSON</t>
  </si>
  <si>
    <t>120 STREET NAME</t>
  </si>
  <si>
    <t>D0000000000024</t>
  </si>
  <si>
    <t>SAMUELSON</t>
  </si>
  <si>
    <t>121 STREET NAME</t>
  </si>
  <si>
    <t>D0000000000025</t>
  </si>
  <si>
    <t>FILMORE</t>
  </si>
  <si>
    <t>122 STREET NAME</t>
  </si>
  <si>
    <t>File ID</t>
  </si>
  <si>
    <t>Process Date</t>
  </si>
  <si>
    <t>1A</t>
  </si>
  <si>
    <t>1B</t>
  </si>
  <si>
    <t>3B</t>
  </si>
  <si>
    <t>Cycle</t>
  </si>
  <si>
    <t>Date</t>
  </si>
  <si>
    <t>Weekday</t>
  </si>
  <si>
    <t>&lt;&lt;&lt;&lt;&lt; This is the "anchor date" - change it to adjust the overall schedule for the test.</t>
  </si>
  <si>
    <t>Sunday</t>
  </si>
  <si>
    <t xml:space="preserve">           For example, to start the test on 1/4/2000, change the cycle 1 date to 1/4/2000.</t>
  </si>
  <si>
    <t>Monday</t>
  </si>
  <si>
    <t xml:space="preserve">                 All other dates will be updated automatically.</t>
  </si>
  <si>
    <t>Tuesday</t>
  </si>
  <si>
    <t xml:space="preserve">                 Holidays are not supported, but the schedule will not include weekends.</t>
  </si>
  <si>
    <t>Wednesday</t>
  </si>
  <si>
    <t>Thursday</t>
  </si>
  <si>
    <t>Friday</t>
  </si>
  <si>
    <t>Saturday</t>
  </si>
  <si>
    <t>RATE
KEY</t>
  </si>
  <si>
    <t>Rate</t>
  </si>
  <si>
    <t>Price Option</t>
  </si>
  <si>
    <t>KWH
Price</t>
  </si>
  <si>
    <t>KW
Price</t>
  </si>
  <si>
    <t>Off Peak KWH
Price</t>
  </si>
  <si>
    <t>Off Peak KW
Price</t>
  </si>
  <si>
    <t>Peak KVA
Price</t>
  </si>
  <si>
    <t>Off Peak KVA
Price</t>
  </si>
  <si>
    <t>Shoulder KWH
Price</t>
  </si>
  <si>
    <t>Shoulder KW
Price</t>
  </si>
  <si>
    <t>Shoulder KVA
Price</t>
  </si>
  <si>
    <t>G00</t>
  </si>
  <si>
    <t>G000001</t>
  </si>
  <si>
    <t>R01</t>
  </si>
  <si>
    <t>R000001</t>
  </si>
  <si>
    <t>R000002</t>
  </si>
  <si>
    <t>R02</t>
  </si>
  <si>
    <t>T000001</t>
  </si>
  <si>
    <t>U99</t>
  </si>
  <si>
    <t>U000001</t>
  </si>
  <si>
    <t>Tax Rate</t>
  </si>
  <si>
    <t>Late Payment Charge Rate</t>
  </si>
  <si>
    <t>Tran.
Type</t>
  </si>
  <si>
    <t>Category 814:  Administrative Transactions</t>
  </si>
  <si>
    <t>EBT Field Number
Field Description</t>
  </si>
  <si>
    <t>#1
#2, #3
#4
#5
#6
#7
#8
#9
#15</t>
  </si>
  <si>
    <t>Enrollment (ES &gt; DS)
Change (ES &lt;&gt; DS)
Successful Enrollment (ES &lt; DS)
Move (ES &lt; DS)
Error (ES &lt; DS)
Customer Drop (ES &lt;&gt; DS)
Supplier Drop (ES &gt; DS)
Confirm Drop Date (ES &lt; DS)
History Request (ES&gt;DS)</t>
  </si>
  <si>
    <t>File</t>
  </si>
  <si>
    <t>File Seq</t>
  </si>
  <si>
    <t>Transaction Type</t>
  </si>
  <si>
    <t>Test Condition Reference/Sequence</t>
  </si>
  <si>
    <t>LDC DUNS</t>
  </si>
  <si>
    <t>Supplier DUNS</t>
  </si>
  <si>
    <t>Transaction Creation Date</t>
  </si>
  <si>
    <t>Detail Record Indicator
(Optional Field)</t>
  </si>
  <si>
    <t>Transaction ID Number</t>
  </si>
  <si>
    <t>Supplier Account Number</t>
  </si>
  <si>
    <t>Customer Name</t>
  </si>
  <si>
    <t>Effective Date of Service</t>
  </si>
  <si>
    <t>Billing Option</t>
  </si>
  <si>
    <t>LDC Rate</t>
  </si>
  <si>
    <t>Supplier Rate Code</t>
  </si>
  <si>
    <t>Supplier Price Option</t>
  </si>
  <si>
    <t>Type of Service</t>
  </si>
  <si>
    <t>Service Identifier</t>
  </si>
  <si>
    <t>Completion Status - Account Level Errors</t>
  </si>
  <si>
    <t>Completion Status - Service Level Errors</t>
  </si>
  <si>
    <t>Billing Cycle</t>
  </si>
  <si>
    <t>Sales Tax Indicator</t>
  </si>
  <si>
    <t>Old LDC Account Number</t>
  </si>
  <si>
    <t>Old LDC Customer Name</t>
  </si>
  <si>
    <t>Old LDC Service Identifier</t>
  </si>
  <si>
    <t>Bill to Address 1</t>
  </si>
  <si>
    <t>Bill to Address 2</t>
  </si>
  <si>
    <t>Bill to City</t>
  </si>
  <si>
    <t>Bill to State</t>
  </si>
  <si>
    <t>Bill to Postal Code</t>
  </si>
  <si>
    <t>Bill to Country</t>
  </si>
  <si>
    <t>Public Aggregator</t>
  </si>
  <si>
    <t>A/N Len=10</t>
  </si>
  <si>
    <t>Date Len=8</t>
  </si>
  <si>
    <t>A/N Len=1</t>
  </si>
  <si>
    <t>A/N Len=30</t>
  </si>
  <si>
    <t>A/N Len=20</t>
  </si>
  <si>
    <t>A/N Len=4</t>
  </si>
  <si>
    <t>A/N Len=3</t>
  </si>
  <si>
    <t>A/N Len=7</t>
  </si>
  <si>
    <t>A/N Len=2</t>
  </si>
  <si>
    <t>A/N Len=55</t>
  </si>
  <si>
    <t>A/N Len=??</t>
  </si>
  <si>
    <t>A-001/01 from supplier</t>
  </si>
  <si>
    <t>A</t>
  </si>
  <si>
    <t>PUBL</t>
  </si>
  <si>
    <t>A-001/02 to supplier</t>
  </si>
  <si>
    <t>MA</t>
  </si>
  <si>
    <t>A-002/01 from supplier</t>
  </si>
  <si>
    <t>P</t>
  </si>
  <si>
    <t>A-002/02 to supplier</t>
  </si>
  <si>
    <t>A-003/01 from supplier</t>
  </si>
  <si>
    <t>D9999999999999</t>
  </si>
  <si>
    <t>A-003/02 to supplier</t>
  </si>
  <si>
    <t>999, 103</t>
  </si>
  <si>
    <t>A-004/01 from supplier</t>
  </si>
  <si>
    <t>A-004/02 to supplier</t>
  </si>
  <si>
    <t>A-004/03 to supplier</t>
  </si>
  <si>
    <t>A-005/01 from supplier</t>
  </si>
  <si>
    <t>A-005/02 from supplier</t>
  </si>
  <si>
    <t>A-005/03 to supplier</t>
  </si>
  <si>
    <t>A-005/04 to supplier</t>
  </si>
  <si>
    <t>A-006/01 from supplier</t>
  </si>
  <si>
    <t>A-006/02 from supplier</t>
  </si>
  <si>
    <t>M999999999</t>
  </si>
  <si>
    <t>A-006/03 to supplier</t>
  </si>
  <si>
    <t>166, 112</t>
  </si>
  <si>
    <t>A-007/01 from supplier</t>
  </si>
  <si>
    <t>A-007/02 from supplier</t>
  </si>
  <si>
    <t>A-007/03 to supplier</t>
  </si>
  <si>
    <t>A-007/04 to supplier</t>
  </si>
  <si>
    <t>A-017/01 from supplier</t>
  </si>
  <si>
    <t>A-017/02 to supplier</t>
  </si>
  <si>
    <t>109, 110</t>
  </si>
  <si>
    <t>A-010/01 from supplier</t>
  </si>
  <si>
    <t>A-010/02 to supplier</t>
  </si>
  <si>
    <t>A-011/01 to supplier</t>
  </si>
  <si>
    <t>A-012/01 to supplier</t>
  </si>
  <si>
    <t>M00000011A</t>
  </si>
  <si>
    <t>A-013/03 to supplier</t>
  </si>
  <si>
    <t>A-013/04 to supplier</t>
  </si>
  <si>
    <t>A-014/02 to supplier</t>
  </si>
  <si>
    <t>A-015/01 from supplier</t>
  </si>
  <si>
    <t>A-008/01 from supplier</t>
  </si>
  <si>
    <t>A-008/02 to supplier</t>
  </si>
  <si>
    <t>A-008/03 from supplier</t>
  </si>
  <si>
    <t>A-008/04 to supplier</t>
  </si>
  <si>
    <t>A-018/01 from supplier</t>
  </si>
  <si>
    <t>A-018/02 to supplier</t>
  </si>
  <si>
    <t>B-001/01 from supplier</t>
  </si>
  <si>
    <t>B-001/02 to supplier</t>
  </si>
  <si>
    <t>B-002/01 from supplier</t>
  </si>
  <si>
    <t>B-002/02 to supplier</t>
  </si>
  <si>
    <t>B-002/03 to supplier</t>
  </si>
  <si>
    <t>B-003/01 from supplier</t>
  </si>
  <si>
    <t>B-003/02 to supplier</t>
  </si>
  <si>
    <t>B-004/01 from supplier</t>
  </si>
  <si>
    <t>B-004/02 to supplier</t>
  </si>
  <si>
    <t>B-004/03 to supplier</t>
  </si>
  <si>
    <t>B-005/01 from supplier</t>
  </si>
  <si>
    <t>B-005/02 to supplier</t>
  </si>
  <si>
    <t>B-006/01 from supplier</t>
  </si>
  <si>
    <t>B-006/02 to supplier</t>
  </si>
  <si>
    <t>B-007/01 from supplier</t>
  </si>
  <si>
    <t>B-007/02 to supplier</t>
  </si>
  <si>
    <t>B-008/01 from supplier</t>
  </si>
  <si>
    <t>B-008/02 to supplier</t>
  </si>
  <si>
    <t>B-009/01 from supplier</t>
  </si>
  <si>
    <t>B-009/02 to supplier</t>
  </si>
  <si>
    <t>B-009/03 to supplier</t>
  </si>
  <si>
    <t>B-010/01 from supplier</t>
  </si>
  <si>
    <t>B-010/02 to supplier</t>
  </si>
  <si>
    <t>B-011/01 from supplier</t>
  </si>
  <si>
    <t>B-011/02 to supplier</t>
  </si>
  <si>
    <t>B-012/01 from supplier</t>
  </si>
  <si>
    <t>B-012/02 to supplier</t>
  </si>
  <si>
    <t>H-001/01 from supplier</t>
  </si>
  <si>
    <t>Transaction
Type</t>
  </si>
  <si>
    <t>Category 810I:  Usage and Billing</t>
  </si>
  <si>
    <t>#10
#11</t>
  </si>
  <si>
    <t>Customer Usage (Pass Through)
Customer Usage and Billing (Complete Billing)</t>
  </si>
  <si>
    <t>These are not EBT data fields!</t>
  </si>
  <si>
    <t>Invoice Number</t>
  </si>
  <si>
    <t>Activity Code</t>
  </si>
  <si>
    <t>Current Read Date</t>
  </si>
  <si>
    <t>Previous Read Date</t>
  </si>
  <si>
    <t>Primary Metering Indicator</t>
  </si>
  <si>
    <t>Total KWH (non-TOU)</t>
  </si>
  <si>
    <t>Peak KWH (TOU)</t>
  </si>
  <si>
    <t>Peak/Max KW</t>
  </si>
  <si>
    <t>Peak KVA</t>
  </si>
  <si>
    <t>Off Peak KWH</t>
  </si>
  <si>
    <t>Off Peak KW</t>
  </si>
  <si>
    <t>Off Peak KVA</t>
  </si>
  <si>
    <t>Shoulder KWH</t>
  </si>
  <si>
    <t>Shoulder KW</t>
  </si>
  <si>
    <t>Shoulder KVA</t>
  </si>
  <si>
    <t>LDC Billing Demand</t>
  </si>
  <si>
    <t>Number of Unmetered Units</t>
  </si>
  <si>
    <t>Billing Date</t>
  </si>
  <si>
    <t>Current Non-TOU Amount</t>
  </si>
  <si>
    <t>Current Peak Amount</t>
  </si>
  <si>
    <t>Current Off Peak Amount</t>
  </si>
  <si>
    <t>Current Shoulder Amount</t>
  </si>
  <si>
    <t>Current Demand Charges</t>
  </si>
  <si>
    <t>Current Customer Charge</t>
  </si>
  <si>
    <t>Current Sales Tax Amount</t>
  </si>
  <si>
    <t>Arrears Interest</t>
  </si>
  <si>
    <t>Supplier Arrears</t>
  </si>
  <si>
    <t>Total Amount Due Supplier</t>
  </si>
  <si>
    <t>Rate_Key</t>
  </si>
  <si>
    <t>KWH
Amt</t>
  </si>
  <si>
    <t>KW
Amt</t>
  </si>
  <si>
    <t>A/N Len=22</t>
  </si>
  <si>
    <t>A/N LEN=7</t>
  </si>
  <si>
    <t>DT Len=8</t>
  </si>
  <si>
    <t>N,0 Len=9</t>
  </si>
  <si>
    <t>N,1 Len=6</t>
  </si>
  <si>
    <t>N,0 Len=4</t>
  </si>
  <si>
    <t>N,2 Len=11</t>
  </si>
  <si>
    <t>A-013/01 to supplier</t>
  </si>
  <si>
    <t>Invoice No</t>
  </si>
  <si>
    <t>A-013/02 to supplier</t>
  </si>
  <si>
    <t>A-014/01 to supplier</t>
  </si>
  <si>
    <t>B-001/03 to supplier</t>
  </si>
  <si>
    <t>B-002/04 to supplier</t>
  </si>
  <si>
    <t>B-002/05 to supplier</t>
  </si>
  <si>
    <t>B-003/03 to supplier</t>
  </si>
  <si>
    <t>B-004/04 to supplier</t>
  </si>
  <si>
    <t>B-004/05 to supplier</t>
  </si>
  <si>
    <t>B-005/03 to supplier</t>
  </si>
  <si>
    <t>B-006/03 to supplier</t>
  </si>
  <si>
    <t>B-007/03 to supplier</t>
  </si>
  <si>
    <t>B-008/03 to supplier</t>
  </si>
  <si>
    <t>B-009/04 to supplier</t>
  </si>
  <si>
    <t>B-009/05 to supplier</t>
  </si>
  <si>
    <t>B-010/03 to supplier</t>
  </si>
  <si>
    <t>B-011/03 to supplier</t>
  </si>
  <si>
    <t>B-012/03 to supplier</t>
  </si>
  <si>
    <t>B-012/04 to supplier</t>
  </si>
  <si>
    <t>Category 820:  Payments and Adjustments</t>
  </si>
  <si>
    <t>#12</t>
  </si>
  <si>
    <t>Customer Payments/Adjustments (ES &lt; DS)</t>
  </si>
  <si>
    <t>Funds Transfer Tracking Number</t>
  </si>
  <si>
    <t>Funds Transfer Date</t>
  </si>
  <si>
    <t>Payment Adjustment Type</t>
  </si>
  <si>
    <t>Payment Adjustment Post Date</t>
  </si>
  <si>
    <t>Payment Adjustment Amount</t>
  </si>
  <si>
    <t>C-004/01 to supplier</t>
  </si>
  <si>
    <t>Tracking Number</t>
  </si>
  <si>
    <t>C-001/01 to supplier</t>
  </si>
  <si>
    <t>C-002/01 to supplier</t>
  </si>
  <si>
    <t>C-003/01 to supplier</t>
  </si>
  <si>
    <t>007</t>
  </si>
  <si>
    <t>C-004/02 to supplier</t>
  </si>
  <si>
    <t>003</t>
  </si>
  <si>
    <t>L-001/02 to supplier</t>
  </si>
  <si>
    <t>008</t>
  </si>
  <si>
    <t>Category 810:  Low Income Request Reimbursement</t>
  </si>
  <si>
    <t>#14</t>
  </si>
  <si>
    <t>Reimbursement Request ES &gt; DS</t>
  </si>
  <si>
    <t>Bill Period 1 Start Date</t>
  </si>
  <si>
    <t>Bill Period 1 End Date</t>
  </si>
  <si>
    <t>KWH Billed</t>
  </si>
  <si>
    <t>Amount Billed</t>
  </si>
  <si>
    <t>Bill Period 2 From Date</t>
  </si>
  <si>
    <t>Bill Period 2 To Date</t>
  </si>
  <si>
    <t>Bill Period 3 From Date</t>
  </si>
  <si>
    <t>Bill Period 3 To Date</t>
  </si>
  <si>
    <t>Total Payments Applied</t>
  </si>
  <si>
    <t>L-001/01 from supplier</t>
  </si>
  <si>
    <t>Category 867:  Usage History</t>
  </si>
  <si>
    <t>History #1</t>
  </si>
  <si>
    <t>History #2</t>
  </si>
  <si>
    <t>History #3</t>
  </si>
  <si>
    <t>History #4</t>
  </si>
  <si>
    <t>History #5</t>
  </si>
  <si>
    <t>History #6</t>
  </si>
  <si>
    <t>History #7</t>
  </si>
  <si>
    <t>History #8</t>
  </si>
  <si>
    <t>History #9</t>
  </si>
  <si>
    <t>History #10</t>
  </si>
  <si>
    <t>History #11</t>
  </si>
  <si>
    <t>History #12</t>
  </si>
  <si>
    <t>#16</t>
  </si>
  <si>
    <t>Usage History ES &lt; DS</t>
  </si>
  <si>
    <t>Supplier Customer Account Number</t>
  </si>
  <si>
    <t>Distribution Company Customer Account Number</t>
  </si>
  <si>
    <t>Distribution Company Rate</t>
  </si>
  <si>
    <t>Period End Read Date</t>
  </si>
  <si>
    <t>Period Start Read Date</t>
  </si>
  <si>
    <t>Type of Reading</t>
  </si>
  <si>
    <t>Total KWH Usage</t>
  </si>
  <si>
    <t>Peak Demand</t>
  </si>
  <si>
    <t>Demand Type (KW or KVA)</t>
  </si>
  <si>
    <t>H-001/02 to supplier</t>
  </si>
  <si>
    <t>KW</t>
  </si>
  <si>
    <t>H-001/03 to supplier</t>
  </si>
  <si>
    <t>Category 824</t>
  </si>
  <si>
    <t>Test conditions have not been developed for these transactions.</t>
  </si>
  <si>
    <t>Category 814</t>
  </si>
  <si>
    <t>EBT Field #</t>
  </si>
  <si>
    <t>Table Index</t>
  </si>
  <si>
    <t>1A1</t>
  </si>
  <si>
    <t>1A2</t>
  </si>
  <si>
    <t>1A3</t>
  </si>
  <si>
    <t>1A4</t>
  </si>
  <si>
    <t>1A5</t>
  </si>
  <si>
    <t>1A6</t>
  </si>
  <si>
    <t>1A7</t>
  </si>
  <si>
    <t>1A8</t>
  </si>
  <si>
    <t>1A9</t>
  </si>
  <si>
    <t>1A11</t>
  </si>
  <si>
    <t>1A12</t>
  </si>
  <si>
    <t>1A13</t>
  </si>
  <si>
    <t>1A14</t>
  </si>
  <si>
    <t>1A15</t>
  </si>
  <si>
    <t>1A16</t>
  </si>
  <si>
    <t>1A17</t>
  </si>
  <si>
    <t>1A18</t>
  </si>
  <si>
    <t>1A19</t>
  </si>
  <si>
    <t>1A20</t>
  </si>
  <si>
    <t>1A21</t>
  </si>
  <si>
    <t>1A22</t>
  </si>
  <si>
    <t>1A23</t>
  </si>
  <si>
    <t>1A24</t>
  </si>
  <si>
    <t>2A1</t>
  </si>
  <si>
    <t>2A3</t>
  </si>
  <si>
    <t>2A4</t>
  </si>
  <si>
    <t>2A6</t>
  </si>
  <si>
    <t>2A7</t>
  </si>
  <si>
    <t>2A8</t>
  </si>
  <si>
    <t>Category 810 Low Income Reimbursement</t>
  </si>
  <si>
    <t>n/a</t>
  </si>
  <si>
    <t>2A9</t>
  </si>
  <si>
    <t>1B1</t>
  </si>
  <si>
    <t>1B2</t>
  </si>
  <si>
    <t>1B3</t>
  </si>
  <si>
    <t>1B4</t>
  </si>
  <si>
    <t>1B5</t>
  </si>
  <si>
    <t>1B6</t>
  </si>
  <si>
    <t>1B7</t>
  </si>
  <si>
    <t>1B8</t>
  </si>
  <si>
    <t>1B10</t>
  </si>
  <si>
    <t>1B12</t>
  </si>
  <si>
    <t>1B13</t>
  </si>
  <si>
    <t>1B14</t>
  </si>
  <si>
    <t>1B15</t>
  </si>
  <si>
    <t>1B16</t>
  </si>
  <si>
    <t>1B17</t>
  </si>
  <si>
    <t>1B18</t>
  </si>
  <si>
    <t>1B19</t>
  </si>
  <si>
    <t>1B20</t>
  </si>
  <si>
    <t>1B21</t>
  </si>
  <si>
    <t>1B22</t>
  </si>
  <si>
    <t>1B23</t>
  </si>
  <si>
    <t>1B24</t>
  </si>
  <si>
    <t>1B25</t>
  </si>
  <si>
    <t>1B26</t>
  </si>
  <si>
    <t>1B27</t>
  </si>
  <si>
    <t>Category 867</t>
  </si>
  <si>
    <t>1B28</t>
  </si>
  <si>
    <t>1B29</t>
  </si>
  <si>
    <t>2B1</t>
  </si>
  <si>
    <t>2B3</t>
  </si>
  <si>
    <t>2B4</t>
  </si>
  <si>
    <t>2B5</t>
  </si>
  <si>
    <t>2B6</t>
  </si>
  <si>
    <t>2B7</t>
  </si>
  <si>
    <t>2B8</t>
  </si>
  <si>
    <t>2B9</t>
  </si>
  <si>
    <t>2B10</t>
  </si>
  <si>
    <t>2B11</t>
  </si>
  <si>
    <t>Category 810</t>
  </si>
  <si>
    <t>2B12</t>
  </si>
  <si>
    <t>2B13</t>
  </si>
  <si>
    <t>Category 820</t>
  </si>
  <si>
    <t>2B14</t>
  </si>
  <si>
    <t/>
  </si>
  <si>
    <t>3B1</t>
  </si>
  <si>
    <t>3B2</t>
  </si>
  <si>
    <t>3B3</t>
  </si>
  <si>
    <t>3B4</t>
  </si>
  <si>
    <t>3B5</t>
  </si>
  <si>
    <t>3B6</t>
  </si>
  <si>
    <t>3B7</t>
  </si>
  <si>
    <t>3B8</t>
  </si>
  <si>
    <t>3B9</t>
  </si>
  <si>
    <t>3B10</t>
  </si>
  <si>
    <t>3B11</t>
  </si>
  <si>
    <t>3B12</t>
  </si>
  <si>
    <t>3B13</t>
  </si>
  <si>
    <t>3B14</t>
  </si>
  <si>
    <t>3B15</t>
  </si>
  <si>
    <t>3B16</t>
  </si>
  <si>
    <t>3B17</t>
  </si>
  <si>
    <t>4B1</t>
  </si>
  <si>
    <t>4B2</t>
  </si>
  <si>
    <t>4B3</t>
  </si>
  <si>
    <t>4B4</t>
  </si>
  <si>
    <t>LDC DUNS #:</t>
  </si>
  <si>
    <t>LDCDUNS##</t>
  </si>
  <si>
    <t>Test Script Account #</t>
  </si>
  <si>
    <t>Test Conditions</t>
  </si>
  <si>
    <t>LDC Account #</t>
  </si>
  <si>
    <t>A-001
A-010</t>
  </si>
  <si>
    <t>A-002
A-011
A-017
A-018</t>
  </si>
  <si>
    <t>A-004
A-013
C-003
C-004</t>
  </si>
  <si>
    <t>A-005
A-009</t>
  </si>
  <si>
    <t>Future use</t>
  </si>
  <si>
    <t>B-003
C-001</t>
  </si>
  <si>
    <t>B-004
C-002</t>
  </si>
  <si>
    <t>A-012
A-014</t>
  </si>
  <si>
    <t>A-015
A-016</t>
  </si>
  <si>
    <t>Supplier DUNS #:</t>
  </si>
  <si>
    <t>SUPDUNS##</t>
  </si>
  <si>
    <t>Supplier A
Account #</t>
  </si>
  <si>
    <t>S0000000000001</t>
  </si>
  <si>
    <t>S0000000000002</t>
  </si>
  <si>
    <t>A-002
A-011
A-012
A-014
A-017
A-018</t>
  </si>
  <si>
    <t>S0000000000003</t>
  </si>
  <si>
    <t>S0000000000004</t>
  </si>
  <si>
    <t>A-004
A-013
A-015
C-003
C-004</t>
  </si>
  <si>
    <t>S000000000004A</t>
  </si>
  <si>
    <t>S0000000000005</t>
  </si>
  <si>
    <t>S0000000000006</t>
  </si>
  <si>
    <t>S0000000000007</t>
  </si>
  <si>
    <t>S0000000000008</t>
  </si>
  <si>
    <t>S0000000000009</t>
  </si>
  <si>
    <t>S0000000000010</t>
  </si>
  <si>
    <t>S0000000000011</t>
  </si>
  <si>
    <t>S0000000000012</t>
  </si>
  <si>
    <t>S0000000000013</t>
  </si>
  <si>
    <t>S0000000000014</t>
  </si>
  <si>
    <t>S0000000000015</t>
  </si>
  <si>
    <t>S0000000000016</t>
  </si>
  <si>
    <t>S0000000000017</t>
  </si>
  <si>
    <t>S0000000000018</t>
  </si>
  <si>
    <t>S0000000000019</t>
  </si>
  <si>
    <t>S0000000000020</t>
  </si>
  <si>
    <t>S0000000000021</t>
  </si>
  <si>
    <t>S0000000000022</t>
  </si>
  <si>
    <t>S0000000000023</t>
  </si>
  <si>
    <t>S0000000000024</t>
  </si>
  <si>
    <t>S0000000000025</t>
  </si>
  <si>
    <t>Test Script
Service Identifier</t>
  </si>
  <si>
    <t>LDC A
Service Identifier</t>
  </si>
  <si>
    <t>LDC B
Service Identifier</t>
  </si>
  <si>
    <t>LDC C
Service Identifier</t>
  </si>
  <si>
    <t>M000000001</t>
  </si>
  <si>
    <t>M000000002</t>
  </si>
  <si>
    <t>M000000003</t>
  </si>
  <si>
    <t>M000000004</t>
  </si>
  <si>
    <t>M000000005</t>
  </si>
  <si>
    <t>M000000006</t>
  </si>
  <si>
    <t>M000000007</t>
  </si>
  <si>
    <t>M000000008</t>
  </si>
  <si>
    <t>M000000009</t>
  </si>
  <si>
    <t>M000000010</t>
  </si>
  <si>
    <t>M000000011</t>
  </si>
  <si>
    <t>M000000012</t>
  </si>
  <si>
    <t>M000000013</t>
  </si>
  <si>
    <t>M000000014</t>
  </si>
  <si>
    <t>M000000015</t>
  </si>
  <si>
    <t>M000000016</t>
  </si>
  <si>
    <t>M000000017</t>
  </si>
  <si>
    <t>M000000018</t>
  </si>
  <si>
    <t>M000000019</t>
  </si>
  <si>
    <t>M000000020</t>
  </si>
  <si>
    <t>M000000021</t>
  </si>
  <si>
    <t>M000000022</t>
  </si>
  <si>
    <t>M000000023</t>
  </si>
  <si>
    <t>M000000024</t>
  </si>
  <si>
    <t>M000000025</t>
  </si>
  <si>
    <t>M000000026</t>
  </si>
  <si>
    <t>M000000027</t>
  </si>
  <si>
    <t>M000000028</t>
  </si>
  <si>
    <t>M000000029</t>
  </si>
  <si>
    <t>M000000030</t>
  </si>
  <si>
    <t>M000000031</t>
  </si>
  <si>
    <t>M000000032</t>
  </si>
  <si>
    <t>M000000033</t>
  </si>
  <si>
    <t>M000000034</t>
  </si>
  <si>
    <t>M000000035</t>
  </si>
  <si>
    <t>M000000036</t>
  </si>
  <si>
    <t>M000000037</t>
  </si>
  <si>
    <t>M000000038</t>
  </si>
  <si>
    <t>M000000039</t>
  </si>
  <si>
    <t>M000000040</t>
  </si>
  <si>
    <t>M000000041</t>
  </si>
  <si>
    <t>M000000042</t>
  </si>
  <si>
    <t>U000000001</t>
  </si>
  <si>
    <t>U000000002</t>
  </si>
  <si>
    <t>U000000003</t>
  </si>
  <si>
    <t>Cancel Drop</t>
  </si>
  <si>
    <t>026</t>
  </si>
  <si>
    <t>sv</t>
  </si>
  <si>
    <t>CC</t>
  </si>
  <si>
    <t>Success
Change
Response</t>
  </si>
  <si>
    <t>Success
Cancel
Drop
Response</t>
  </si>
  <si>
    <t>Cancel
Drop
Error
Response</t>
  </si>
  <si>
    <t>cd</t>
  </si>
  <si>
    <t>NX</t>
  </si>
  <si>
    <t>NAT'L GRID CIS REC IND</t>
  </si>
  <si>
    <t>R</t>
  </si>
  <si>
    <t>EX</t>
  </si>
  <si>
    <t>CX</t>
  </si>
  <si>
    <t>DX</t>
  </si>
  <si>
    <t>RX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</si>
</sst>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yyyymmdd"/>
    <numFmt numFmtId="166" formatCode="0.0"/>
    <numFmt numFmtId="167" formatCode="&quot;$&quot;#,##0.000000_);\(&quot;$&quot;#,##0.000000\)"/>
    <numFmt numFmtId="168" formatCode="&quot;$&quot;#,##0.000_);[Red]\(&quot;$&quot;#,##0.000\)"/>
    <numFmt numFmtId="169" formatCode="&quot;$&quot;#,##0.00"/>
    <numFmt numFmtId="170" formatCode="yymmdd"/>
    <numFmt numFmtId="171" formatCode="mmddyyyy"/>
    <numFmt numFmtId="172" formatCode="mmddyy"/>
  </numFmts>
  <fonts count="17">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sz val="8"/>
      <color indexed="8"/>
      <name val="Arial"/>
      <family val="2"/>
    </font>
    <font>
      <sz val="8"/>
      <color indexed="8"/>
      <name val="Arial"/>
      <family val="2"/>
    </font>
    <font>
      <sz val="10"/>
      <color indexed="63"/>
      <name val="Arial"/>
      <family val="2"/>
    </font>
    <font>
      <sz val="10"/>
      <color indexed="8"/>
      <name val="Arial"/>
      <family val="2"/>
    </font>
    <font>
      <sz val="9"/>
      <name val="Arial"/>
      <family val="2"/>
    </font>
    <font>
      <b/>
      <sz val="10"/>
      <color indexed="63"/>
      <name val="Arial"/>
      <family val="2"/>
    </font>
    <font>
      <i/>
      <sz val="10"/>
      <color indexed="10"/>
      <name val="Arial"/>
      <family val="2"/>
    </font>
    <font>
      <b/>
      <i/>
      <sz val="8"/>
      <name val="Arial"/>
      <family val="0"/>
    </font>
    <font>
      <b/>
      <sz val="12"/>
      <name val="Arial"/>
      <family val="0"/>
    </font>
    <font>
      <b/>
      <sz val="11"/>
      <name val="Arial"/>
      <family val="2"/>
    </font>
    <font>
      <sz val="8"/>
      <name val="Tahoma"/>
      <family val="2"/>
    </font>
  </fonts>
  <fills count="11">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65"/>
        <bgColor indexed="64"/>
      </patternFill>
    </fill>
    <fill>
      <patternFill patternType="solid">
        <fgColor indexed="40"/>
        <bgColor indexed="64"/>
      </patternFill>
    </fill>
    <fill>
      <patternFill patternType="solid">
        <fgColor indexed="23"/>
        <bgColor indexed="64"/>
      </patternFill>
    </fill>
    <fill>
      <patternFill patternType="solid">
        <fgColor indexed="55"/>
        <bgColor indexed="64"/>
      </patternFill>
    </fill>
    <fill>
      <patternFill patternType="solid">
        <fgColor indexed="10"/>
        <bgColor indexed="64"/>
      </patternFill>
    </fill>
    <fill>
      <patternFill patternType="solid">
        <fgColor indexed="9"/>
        <bgColor indexed="64"/>
      </patternFill>
    </fill>
    <fill>
      <patternFill patternType="solid">
        <fgColor indexed="50"/>
        <bgColor indexed="64"/>
      </patternFill>
    </fill>
  </fills>
  <borders count="9">
    <border>
      <left/>
      <right/>
      <top/>
      <bottom/>
      <diagonal/>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1">
    <xf numFmtId="0" fontId="0" fillId="0" borderId="0" xfId="0" applyAlignment="1">
      <alignment/>
    </xf>
    <xf numFmtId="0" fontId="4" fillId="0" borderId="1" xfId="0" applyFont="1" applyBorder="1" applyAlignment="1">
      <alignment/>
    </xf>
    <xf numFmtId="0" fontId="4" fillId="0" borderId="0" xfId="0" applyFont="1" applyAlignment="1">
      <alignment horizontal="center" wrapText="1"/>
    </xf>
    <xf numFmtId="0" fontId="4" fillId="0" borderId="1" xfId="0" applyFont="1" applyBorder="1" applyAlignment="1">
      <alignment horizontal="center" wrapText="1"/>
    </xf>
    <xf numFmtId="0" fontId="4" fillId="2" borderId="0" xfId="0" applyFont="1" applyFill="1" applyAlignment="1">
      <alignment horizontal="center" wrapText="1"/>
    </xf>
    <xf numFmtId="0" fontId="4" fillId="0" borderId="1" xfId="0" applyFont="1" applyBorder="1" applyAlignment="1">
      <alignment wrapText="1"/>
    </xf>
    <xf numFmtId="0" fontId="4" fillId="0" borderId="2" xfId="0" applyFont="1" applyBorder="1" applyAlignment="1">
      <alignment horizontal="left" wrapText="1"/>
    </xf>
    <xf numFmtId="0" fontId="5" fillId="0" borderId="1" xfId="0" applyFont="1" applyBorder="1" applyAlignment="1">
      <alignment horizontal="center" wrapText="1"/>
    </xf>
    <xf numFmtId="49" fontId="4" fillId="0" borderId="1" xfId="0" applyNumberFormat="1" applyFont="1" applyBorder="1" applyAlignment="1">
      <alignment/>
    </xf>
    <xf numFmtId="0" fontId="4" fillId="2" borderId="1" xfId="0" applyFont="1" applyFill="1" applyBorder="1" applyAlignment="1">
      <alignment/>
    </xf>
    <xf numFmtId="0" fontId="4" fillId="0" borderId="0" xfId="0" applyFont="1" applyAlignment="1">
      <alignment/>
    </xf>
    <xf numFmtId="0" fontId="4" fillId="2" borderId="0" xfId="0" applyFont="1" applyFill="1" applyAlignment="1">
      <alignment/>
    </xf>
    <xf numFmtId="0" fontId="4" fillId="0" borderId="1" xfId="0" applyNumberFormat="1" applyFont="1" applyBorder="1" applyAlignment="1">
      <alignment/>
    </xf>
    <xf numFmtId="0" fontId="4" fillId="0" borderId="0" xfId="0" applyNumberFormat="1" applyFont="1" applyAlignment="1">
      <alignment/>
    </xf>
    <xf numFmtId="0" fontId="4" fillId="0" borderId="1" xfId="0" applyNumberFormat="1" applyFont="1" applyBorder="1" applyAlignment="1">
      <alignment horizontal="center" wrapText="1"/>
    </xf>
    <xf numFmtId="0" fontId="4" fillId="0" borderId="1" xfId="0" applyNumberFormat="1" applyFont="1" applyFill="1" applyBorder="1" applyAlignment="1">
      <alignment/>
    </xf>
    <xf numFmtId="0" fontId="4" fillId="3" borderId="1" xfId="0" applyNumberFormat="1" applyFont="1" applyFill="1" applyBorder="1" applyAlignment="1">
      <alignment horizontal="left"/>
    </xf>
    <xf numFmtId="0" fontId="4" fillId="0" borderId="1" xfId="0" applyNumberFormat="1" applyFont="1" applyFill="1" applyBorder="1" applyAlignment="1">
      <alignment horizontal="left"/>
    </xf>
    <xf numFmtId="0" fontId="4" fillId="0" borderId="1" xfId="0" applyNumberFormat="1" applyFont="1" applyBorder="1" applyAlignment="1">
      <alignment horizontal="left"/>
    </xf>
    <xf numFmtId="0" fontId="7" fillId="3" borderId="3" xfId="0" applyNumberFormat="1" applyFont="1" applyFill="1" applyBorder="1" applyAlignment="1">
      <alignment horizontal="center" wrapText="1"/>
    </xf>
    <xf numFmtId="0" fontId="4" fillId="0" borderId="4" xfId="0" applyFont="1" applyBorder="1" applyAlignment="1">
      <alignment horizontal="center"/>
    </xf>
    <xf numFmtId="0" fontId="4" fillId="2" borderId="1" xfId="0" applyFont="1" applyFill="1" applyBorder="1" applyAlignment="1">
      <alignment horizontal="center"/>
    </xf>
    <xf numFmtId="0" fontId="4" fillId="3" borderId="3" xfId="0" applyFont="1" applyFill="1" applyBorder="1" applyAlignment="1">
      <alignment horizontal="center"/>
    </xf>
    <xf numFmtId="49" fontId="4" fillId="3" borderId="3" xfId="0" applyNumberFormat="1" applyFont="1" applyFill="1" applyBorder="1" applyAlignment="1">
      <alignment horizontal="center"/>
    </xf>
    <xf numFmtId="0" fontId="5" fillId="0" borderId="1" xfId="0" applyFont="1" applyBorder="1" applyAlignment="1">
      <alignment horizontal="center"/>
    </xf>
    <xf numFmtId="0" fontId="4" fillId="0" borderId="1" xfId="0" applyNumberFormat="1" applyFont="1" applyBorder="1" applyAlignment="1">
      <alignment wrapText="1"/>
    </xf>
    <xf numFmtId="0" fontId="4" fillId="0" borderId="2" xfId="0" applyNumberFormat="1" applyFont="1" applyBorder="1" applyAlignment="1">
      <alignment horizontal="left" wrapText="1"/>
    </xf>
    <xf numFmtId="0" fontId="4" fillId="2" borderId="0" xfId="0" applyNumberFormat="1" applyFont="1" applyFill="1" applyAlignment="1">
      <alignment horizontal="center" wrapText="1"/>
    </xf>
    <xf numFmtId="0" fontId="6" fillId="0" borderId="4" xfId="0" applyNumberFormat="1" applyFont="1" applyBorder="1" applyAlignment="1">
      <alignment horizontal="center" wrapText="1"/>
    </xf>
    <xf numFmtId="0" fontId="7" fillId="2" borderId="0" xfId="0" applyNumberFormat="1" applyFont="1" applyFill="1" applyAlignment="1">
      <alignment horizontal="center" wrapText="1"/>
    </xf>
    <xf numFmtId="0" fontId="4" fillId="0" borderId="1" xfId="0" applyNumberFormat="1" applyFont="1" applyBorder="1" applyAlignment="1">
      <alignment horizontal="center"/>
    </xf>
    <xf numFmtId="0" fontId="4" fillId="2" borderId="1" xfId="0" applyNumberFormat="1" applyFont="1" applyFill="1" applyBorder="1" applyAlignment="1">
      <alignment/>
    </xf>
    <xf numFmtId="0" fontId="4" fillId="3" borderId="1" xfId="0" applyNumberFormat="1" applyFont="1" applyFill="1" applyBorder="1" applyAlignment="1">
      <alignment/>
    </xf>
    <xf numFmtId="165" fontId="4" fillId="0" borderId="1" xfId="0" applyNumberFormat="1" applyFont="1" applyBorder="1" applyAlignment="1">
      <alignment/>
    </xf>
    <xf numFmtId="0" fontId="4" fillId="2" borderId="1" xfId="0" applyNumberFormat="1" applyFont="1" applyFill="1" applyBorder="1" applyAlignment="1">
      <alignment horizontal="center"/>
    </xf>
    <xf numFmtId="0" fontId="4" fillId="2" borderId="1" xfId="0" applyNumberFormat="1" applyFont="1" applyFill="1" applyBorder="1" applyAlignment="1">
      <alignment horizontal="left"/>
    </xf>
    <xf numFmtId="0" fontId="4" fillId="2" borderId="0" xfId="0" applyNumberFormat="1" applyFont="1" applyFill="1" applyAlignment="1">
      <alignment/>
    </xf>
    <xf numFmtId="0" fontId="4" fillId="0" borderId="1" xfId="0" applyNumberFormat="1" applyFont="1" applyFill="1" applyBorder="1" applyAlignment="1">
      <alignment horizontal="center"/>
    </xf>
    <xf numFmtId="165" fontId="4" fillId="0" borderId="1" xfId="0" applyNumberFormat="1" applyFont="1" applyFill="1" applyBorder="1" applyAlignment="1">
      <alignment/>
    </xf>
    <xf numFmtId="49" fontId="4" fillId="0" borderId="1" xfId="0" applyNumberFormat="1" applyFont="1" applyFill="1" applyBorder="1" applyAlignment="1">
      <alignment/>
    </xf>
    <xf numFmtId="0" fontId="4" fillId="0" borderId="1" xfId="0" applyFont="1" applyBorder="1" applyAlignment="1">
      <alignment horizontal="center"/>
    </xf>
    <xf numFmtId="0" fontId="4" fillId="0" borderId="1" xfId="0" applyFont="1" applyBorder="1" applyAlignment="1">
      <alignment horizontal="left"/>
    </xf>
    <xf numFmtId="0" fontId="4" fillId="3" borderId="1" xfId="0" applyFont="1" applyFill="1" applyBorder="1" applyAlignment="1">
      <alignment/>
    </xf>
    <xf numFmtId="2" fontId="4" fillId="0" borderId="1" xfId="0" applyNumberFormat="1" applyFont="1" applyFill="1" applyBorder="1" applyAlignment="1">
      <alignment/>
    </xf>
    <xf numFmtId="2" fontId="4" fillId="0" borderId="1" xfId="0" applyNumberFormat="1" applyFont="1" applyBorder="1" applyAlignment="1">
      <alignment/>
    </xf>
    <xf numFmtId="0" fontId="7" fillId="0" borderId="4" xfId="0" applyNumberFormat="1" applyFont="1" applyBorder="1" applyAlignment="1">
      <alignment horizontal="center" wrapText="1"/>
    </xf>
    <xf numFmtId="0" fontId="4" fillId="0" borderId="4" xfId="0" applyFont="1" applyBorder="1" applyAlignment="1">
      <alignment/>
    </xf>
    <xf numFmtId="0" fontId="5" fillId="0" borderId="1" xfId="0" applyNumberFormat="1" applyFont="1" applyBorder="1" applyAlignment="1">
      <alignment horizontal="center" wrapText="1"/>
    </xf>
    <xf numFmtId="0" fontId="5" fillId="0" borderId="2" xfId="0" applyNumberFormat="1" applyFont="1" applyBorder="1" applyAlignment="1">
      <alignment horizontal="centerContinuous" wrapText="1"/>
    </xf>
    <xf numFmtId="0" fontId="4" fillId="0" borderId="5" xfId="0" applyNumberFormat="1" applyFont="1" applyBorder="1" applyAlignment="1">
      <alignment horizontal="centerContinuous"/>
    </xf>
    <xf numFmtId="0" fontId="5" fillId="0" borderId="6" xfId="0" applyNumberFormat="1" applyFont="1" applyBorder="1" applyAlignment="1">
      <alignment horizontal="center" textRotation="90" wrapText="1"/>
    </xf>
    <xf numFmtId="0" fontId="5" fillId="0" borderId="6" xfId="0" applyNumberFormat="1" applyFont="1" applyBorder="1" applyAlignment="1">
      <alignment horizontal="center" wrapText="1"/>
    </xf>
    <xf numFmtId="0" fontId="4" fillId="0" borderId="0" xfId="0" applyNumberFormat="1" applyFont="1" applyAlignment="1">
      <alignment horizontal="left"/>
    </xf>
    <xf numFmtId="0" fontId="5" fillId="0" borderId="1" xfId="0" applyFont="1" applyBorder="1" applyAlignment="1">
      <alignment horizontal="centerContinuous"/>
    </xf>
    <xf numFmtId="0" fontId="5" fillId="0" borderId="2" xfId="0" applyFont="1" applyBorder="1" applyAlignment="1">
      <alignment horizontal="centerContinuous" wrapText="1"/>
    </xf>
    <xf numFmtId="0" fontId="4" fillId="0" borderId="5" xfId="0" applyFont="1" applyBorder="1" applyAlignment="1">
      <alignment horizontal="centerContinuous"/>
    </xf>
    <xf numFmtId="0" fontId="4" fillId="0" borderId="7" xfId="0" applyFont="1" applyBorder="1" applyAlignment="1">
      <alignment horizontal="centerContinuous"/>
    </xf>
    <xf numFmtId="0" fontId="5" fillId="0" borderId="6" xfId="0" applyFont="1" applyBorder="1" applyAlignment="1">
      <alignment horizontal="center" textRotation="90" wrapText="1"/>
    </xf>
    <xf numFmtId="0" fontId="5" fillId="0" borderId="6" xfId="0" applyFont="1" applyBorder="1" applyAlignment="1">
      <alignment horizontal="center" wrapText="1"/>
    </xf>
    <xf numFmtId="0" fontId="4" fillId="0" borderId="0" xfId="0" applyFont="1" applyAlignment="1">
      <alignment horizontal="left"/>
    </xf>
    <xf numFmtId="0" fontId="4" fillId="0" borderId="5" xfId="0" applyFont="1" applyBorder="1" applyAlignment="1">
      <alignment horizontal="left"/>
    </xf>
    <xf numFmtId="164" fontId="5" fillId="0" borderId="1" xfId="0" applyNumberFormat="1" applyFont="1" applyBorder="1" applyAlignment="1">
      <alignment horizontal="center"/>
    </xf>
    <xf numFmtId="164" fontId="4" fillId="0" borderId="0" xfId="0" applyNumberFormat="1" applyFont="1" applyAlignment="1">
      <alignment/>
    </xf>
    <xf numFmtId="0" fontId="4" fillId="4" borderId="1" xfId="0" applyFont="1" applyFill="1" applyBorder="1" applyAlignment="1">
      <alignment horizontal="left"/>
    </xf>
    <xf numFmtId="2" fontId="4" fillId="0" borderId="5" xfId="0" applyNumberFormat="1" applyFont="1" applyBorder="1" applyAlignment="1">
      <alignment horizontal="centerContinuous"/>
    </xf>
    <xf numFmtId="2" fontId="4" fillId="0" borderId="1" xfId="0" applyNumberFormat="1" applyFont="1" applyBorder="1" applyAlignment="1">
      <alignment horizontal="center" wrapText="1"/>
    </xf>
    <xf numFmtId="2" fontId="4" fillId="3" borderId="3" xfId="0" applyNumberFormat="1" applyFont="1" applyFill="1" applyBorder="1" applyAlignment="1">
      <alignment horizontal="center"/>
    </xf>
    <xf numFmtId="2" fontId="4" fillId="2" borderId="1" xfId="0" applyNumberFormat="1" applyFont="1" applyFill="1" applyBorder="1" applyAlignment="1">
      <alignment/>
    </xf>
    <xf numFmtId="2" fontId="4" fillId="3" borderId="1" xfId="0" applyNumberFormat="1" applyFont="1" applyFill="1" applyBorder="1" applyAlignment="1">
      <alignment/>
    </xf>
    <xf numFmtId="2" fontId="4" fillId="0" borderId="0" xfId="0" applyNumberFormat="1" applyFont="1" applyAlignment="1">
      <alignment/>
    </xf>
    <xf numFmtId="2" fontId="4" fillId="0" borderId="7" xfId="0" applyNumberFormat="1" applyFont="1" applyBorder="1" applyAlignment="1">
      <alignment horizontal="centerContinuous"/>
    </xf>
    <xf numFmtId="0" fontId="4" fillId="0" borderId="1" xfId="0" applyFont="1" applyFill="1" applyBorder="1" applyAlignment="1">
      <alignment/>
    </xf>
    <xf numFmtId="166" fontId="4" fillId="0" borderId="5" xfId="0" applyNumberFormat="1" applyFont="1" applyBorder="1" applyAlignment="1">
      <alignment horizontal="centerContinuous"/>
    </xf>
    <xf numFmtId="166" fontId="4" fillId="0" borderId="1" xfId="0" applyNumberFormat="1" applyFont="1" applyBorder="1" applyAlignment="1">
      <alignment horizontal="center" wrapText="1"/>
    </xf>
    <xf numFmtId="166" fontId="4" fillId="3" borderId="3" xfId="0" applyNumberFormat="1" applyFont="1" applyFill="1" applyBorder="1" applyAlignment="1">
      <alignment horizontal="center"/>
    </xf>
    <xf numFmtId="166" fontId="4" fillId="3" borderId="1" xfId="0" applyNumberFormat="1" applyFont="1" applyFill="1" applyBorder="1" applyAlignment="1">
      <alignment/>
    </xf>
    <xf numFmtId="166" fontId="4" fillId="2" borderId="1" xfId="0" applyNumberFormat="1" applyFont="1" applyFill="1" applyBorder="1" applyAlignment="1">
      <alignment/>
    </xf>
    <xf numFmtId="166" fontId="4" fillId="0" borderId="1" xfId="0" applyNumberFormat="1" applyFont="1" applyFill="1" applyBorder="1" applyAlignment="1">
      <alignment/>
    </xf>
    <xf numFmtId="166" fontId="4" fillId="0" borderId="0" xfId="0" applyNumberFormat="1" applyFont="1" applyAlignment="1">
      <alignment/>
    </xf>
    <xf numFmtId="0" fontId="4" fillId="2" borderId="1" xfId="0" applyFont="1" applyFill="1" applyBorder="1" applyAlignment="1">
      <alignment horizontal="left"/>
    </xf>
    <xf numFmtId="0" fontId="4" fillId="0" borderId="1" xfId="0" applyFont="1" applyFill="1" applyBorder="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center"/>
    </xf>
    <xf numFmtId="0" fontId="0" fillId="0" borderId="0" xfId="0" applyAlignment="1">
      <alignment vertical="top" wrapText="1"/>
    </xf>
    <xf numFmtId="0" fontId="0" fillId="0" borderId="1" xfId="0" applyBorder="1" applyAlignment="1">
      <alignment vertical="top" wrapText="1"/>
    </xf>
    <xf numFmtId="0" fontId="1" fillId="0" borderId="1"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0" xfId="0" applyFont="1" applyAlignment="1">
      <alignment horizontal="center"/>
    </xf>
    <xf numFmtId="0" fontId="5" fillId="0" borderId="1" xfId="0" applyFont="1" applyBorder="1" applyAlignment="1">
      <alignment horizontal="center" vertical="center" wrapText="1"/>
    </xf>
    <xf numFmtId="167" fontId="4" fillId="0" borderId="1" xfId="0" applyNumberFormat="1" applyFont="1" applyBorder="1" applyAlignment="1">
      <alignment/>
    </xf>
    <xf numFmtId="0" fontId="4" fillId="0" borderId="0" xfId="0" applyFont="1" applyBorder="1" applyAlignment="1">
      <alignment/>
    </xf>
    <xf numFmtId="10" fontId="4" fillId="0" borderId="1" xfId="0" applyNumberFormat="1" applyFont="1" applyBorder="1" applyAlignment="1">
      <alignment/>
    </xf>
    <xf numFmtId="0" fontId="4" fillId="2" borderId="0" xfId="0" applyNumberFormat="1" applyFont="1" applyFill="1" applyBorder="1" applyAlignment="1">
      <alignment horizontal="centerContinuous"/>
    </xf>
    <xf numFmtId="0" fontId="7" fillId="0" borderId="1" xfId="0" applyNumberFormat="1" applyFont="1" applyBorder="1" applyAlignment="1">
      <alignment horizontal="center" wrapText="1"/>
    </xf>
    <xf numFmtId="0" fontId="7" fillId="0" borderId="1" xfId="0" applyNumberFormat="1" applyFont="1" applyBorder="1" applyAlignment="1">
      <alignment horizontal="left" wrapText="1"/>
    </xf>
    <xf numFmtId="0" fontId="4" fillId="0" borderId="0" xfId="0" applyNumberFormat="1" applyFont="1" applyFill="1" applyBorder="1" applyAlignment="1">
      <alignment/>
    </xf>
    <xf numFmtId="0" fontId="4" fillId="0" borderId="0"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1" xfId="0" applyFont="1" applyBorder="1" applyAlignment="1">
      <alignment horizontal="center" wrapText="1"/>
    </xf>
    <xf numFmtId="0" fontId="5" fillId="0" borderId="1" xfId="0" applyFont="1" applyBorder="1" applyAlignment="1">
      <alignment horizontal="left"/>
    </xf>
    <xf numFmtId="164" fontId="5" fillId="0" borderId="1" xfId="0" applyNumberFormat="1" applyFont="1" applyBorder="1" applyAlignment="1">
      <alignment/>
    </xf>
    <xf numFmtId="0" fontId="4" fillId="0" borderId="0" xfId="0" applyFont="1" applyBorder="1" applyAlignment="1">
      <alignment horizontal="left"/>
    </xf>
    <xf numFmtId="164" fontId="4" fillId="0" borderId="0" xfId="0" applyNumberFormat="1" applyFont="1" applyBorder="1" applyAlignment="1">
      <alignment/>
    </xf>
    <xf numFmtId="0" fontId="4" fillId="0" borderId="4" xfId="0" applyFont="1" applyFill="1" applyBorder="1" applyAlignment="1">
      <alignment/>
    </xf>
    <xf numFmtId="0" fontId="4" fillId="0" borderId="1" xfId="0" applyNumberFormat="1" applyFont="1" applyFill="1" applyBorder="1" applyAlignment="1">
      <alignment horizontal="center" wrapText="1"/>
    </xf>
    <xf numFmtId="0" fontId="5" fillId="5" borderId="1" xfId="0" applyFont="1" applyFill="1" applyBorder="1" applyAlignment="1">
      <alignment horizontal="center" wrapText="1"/>
    </xf>
    <xf numFmtId="0" fontId="4" fillId="5" borderId="0" xfId="0" applyFont="1" applyFill="1" applyAlignment="1">
      <alignment horizontal="center"/>
    </xf>
    <xf numFmtId="0" fontId="4" fillId="5" borderId="0" xfId="0" applyFont="1" applyFill="1" applyAlignment="1">
      <alignment/>
    </xf>
    <xf numFmtId="169" fontId="4" fillId="5" borderId="0" xfId="0" applyNumberFormat="1" applyFont="1" applyFill="1" applyAlignment="1">
      <alignment/>
    </xf>
    <xf numFmtId="0" fontId="5" fillId="5" borderId="5" xfId="0" applyFont="1" applyFill="1" applyBorder="1" applyAlignment="1">
      <alignment horizontal="centerContinuous" vertical="center"/>
    </xf>
    <xf numFmtId="0" fontId="5" fillId="5" borderId="7" xfId="0" applyFont="1" applyFill="1" applyBorder="1" applyAlignment="1">
      <alignment horizontal="centerContinuous" vertical="center"/>
    </xf>
    <xf numFmtId="0" fontId="8" fillId="6" borderId="1" xfId="0" applyFont="1" applyFill="1" applyBorder="1" applyAlignment="1">
      <alignment horizontal="center" vertical="center" wrapText="1"/>
    </xf>
    <xf numFmtId="0" fontId="8" fillId="6" borderId="1" xfId="0" applyFont="1" applyFill="1" applyBorder="1" applyAlignment="1">
      <alignment vertical="top" wrapText="1"/>
    </xf>
    <xf numFmtId="0" fontId="0" fillId="6" borderId="1" xfId="0" applyFill="1" applyBorder="1" applyAlignment="1">
      <alignment vertical="top" wrapText="1"/>
    </xf>
    <xf numFmtId="0" fontId="9" fillId="0" borderId="1" xfId="0" applyFont="1" applyBorder="1" applyAlignment="1">
      <alignment vertical="top" wrapText="1"/>
    </xf>
    <xf numFmtId="0" fontId="0" fillId="6" borderId="1" xfId="0" applyFill="1" applyBorder="1" applyAlignment="1">
      <alignment horizontal="center" vertical="center" wrapText="1"/>
    </xf>
    <xf numFmtId="0" fontId="1" fillId="0" borderId="0" xfId="0" applyFont="1" applyFill="1" applyBorder="1" applyAlignment="1">
      <alignment/>
    </xf>
    <xf numFmtId="0" fontId="0" fillId="0" borderId="1" xfId="0" applyFill="1" applyBorder="1" applyAlignment="1">
      <alignment vertical="top" wrapText="1"/>
    </xf>
    <xf numFmtId="0" fontId="4" fillId="0" borderId="2" xfId="0" applyNumberFormat="1" applyFont="1" applyFill="1" applyBorder="1" applyAlignment="1">
      <alignment horizontal="center" wrapText="1"/>
    </xf>
    <xf numFmtId="0" fontId="4" fillId="0" borderId="0" xfId="0" applyNumberFormat="1" applyFont="1" applyFill="1" applyAlignment="1">
      <alignment horizontal="center" wrapText="1"/>
    </xf>
    <xf numFmtId="0" fontId="4" fillId="0" borderId="0" xfId="0" applyNumberFormat="1" applyFont="1" applyFill="1" applyAlignment="1">
      <alignment/>
    </xf>
    <xf numFmtId="0" fontId="4" fillId="0" borderId="1" xfId="0" applyFont="1" applyFill="1" applyBorder="1" applyAlignment="1">
      <alignment horizontal="center"/>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0" fontId="1" fillId="0" borderId="0" xfId="0" applyFont="1" applyFill="1" applyBorder="1" applyAlignment="1">
      <alignment/>
    </xf>
    <xf numFmtId="0" fontId="4" fillId="0" borderId="0" xfId="0" applyFont="1" applyFill="1" applyBorder="1" applyAlignment="1">
      <alignment/>
    </xf>
    <xf numFmtId="2" fontId="1" fillId="0" borderId="0" xfId="0" applyNumberFormat="1" applyFont="1" applyFill="1" applyBorder="1" applyAlignment="1">
      <alignment/>
    </xf>
    <xf numFmtId="0" fontId="0" fillId="0" borderId="0" xfId="0" applyFill="1" applyBorder="1" applyAlignment="1">
      <alignment/>
    </xf>
    <xf numFmtId="165" fontId="1" fillId="0" borderId="0" xfId="0" applyNumberFormat="1" applyFont="1" applyFill="1" applyBorder="1" applyAlignment="1">
      <alignment/>
    </xf>
    <xf numFmtId="0" fontId="4" fillId="0" borderId="1" xfId="0" applyFont="1" applyFill="1" applyBorder="1" applyAlignment="1">
      <alignment horizontal="right"/>
    </xf>
    <xf numFmtId="0" fontId="0" fillId="0" borderId="0" xfId="0" applyFill="1" applyAlignment="1">
      <alignment/>
    </xf>
    <xf numFmtId="0" fontId="4" fillId="0" borderId="0" xfId="0" applyFont="1" applyFill="1" applyBorder="1" applyAlignment="1">
      <alignment horizontal="left"/>
    </xf>
    <xf numFmtId="0" fontId="1" fillId="0" borderId="0" xfId="0" applyFont="1" applyFill="1" applyBorder="1" applyAlignment="1">
      <alignment horizontal="left"/>
    </xf>
    <xf numFmtId="0" fontId="0" fillId="0" borderId="0" xfId="0" applyFill="1" applyBorder="1" applyAlignment="1">
      <alignment horizontal="left"/>
    </xf>
    <xf numFmtId="0" fontId="5" fillId="0" borderId="1" xfId="0" applyFont="1" applyFill="1" applyBorder="1" applyAlignment="1">
      <alignment horizontal="center" wrapText="1"/>
    </xf>
    <xf numFmtId="0" fontId="5" fillId="0" borderId="0" xfId="0" applyFont="1" applyFill="1" applyAlignment="1">
      <alignment horizontal="center"/>
    </xf>
    <xf numFmtId="0" fontId="0" fillId="0" borderId="1" xfId="0" applyNumberFormat="1" applyFill="1" applyBorder="1" applyAlignment="1">
      <alignment/>
    </xf>
    <xf numFmtId="0" fontId="0" fillId="0" borderId="0" xfId="0" applyNumberFormat="1" applyFill="1" applyAlignment="1">
      <alignment/>
    </xf>
    <xf numFmtId="0" fontId="1" fillId="0" borderId="1" xfId="0" applyNumberFormat="1" applyFont="1" applyFill="1" applyBorder="1" applyAlignment="1">
      <alignment horizontal="center" wrapText="1"/>
    </xf>
    <xf numFmtId="1" fontId="5" fillId="0" borderId="1" xfId="0" applyNumberFormat="1" applyFont="1" applyBorder="1" applyAlignment="1">
      <alignment horizontal="center"/>
    </xf>
    <xf numFmtId="0" fontId="4" fillId="7" borderId="1" xfId="0" applyFont="1" applyFill="1" applyBorder="1" applyAlignment="1">
      <alignment/>
    </xf>
    <xf numFmtId="0" fontId="4" fillId="8" borderId="1" xfId="0" applyNumberFormat="1" applyFont="1" applyFill="1" applyBorder="1" applyAlignment="1">
      <alignment horizontal="center" wrapText="1"/>
    </xf>
    <xf numFmtId="0" fontId="4" fillId="8" borderId="1" xfId="0" applyNumberFormat="1" applyFont="1" applyFill="1" applyBorder="1" applyAlignment="1">
      <alignment/>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wrapText="1"/>
    </xf>
    <xf numFmtId="0" fontId="5" fillId="0" borderId="1" xfId="0" applyNumberFormat="1" applyFont="1" applyFill="1" applyBorder="1" applyAlignment="1">
      <alignment horizontal="center"/>
    </xf>
    <xf numFmtId="0" fontId="4" fillId="8" borderId="2" xfId="0" applyNumberFormat="1" applyFont="1" applyFill="1" applyBorder="1" applyAlignment="1">
      <alignment horizontal="center" wrapText="1"/>
    </xf>
    <xf numFmtId="2" fontId="4" fillId="0" borderId="1" xfId="0" applyNumberFormat="1" applyFont="1" applyBorder="1" applyAlignment="1">
      <alignment/>
    </xf>
    <xf numFmtId="0" fontId="4" fillId="3" borderId="1" xfId="0" applyFont="1" applyFill="1" applyBorder="1" applyAlignment="1">
      <alignment horizontal="left"/>
    </xf>
    <xf numFmtId="0" fontId="0" fillId="0" borderId="1" xfId="0" applyNumberFormat="1" applyFont="1" applyFill="1" applyBorder="1" applyAlignment="1">
      <alignment horizontal="left"/>
    </xf>
    <xf numFmtId="0" fontId="5" fillId="5" borderId="2" xfId="0" applyFont="1" applyFill="1" applyBorder="1" applyAlignment="1">
      <alignment horizontal="centerContinuous" vertical="center" wrapText="1"/>
    </xf>
    <xf numFmtId="165" fontId="4" fillId="0" borderId="4" xfId="0" applyNumberFormat="1" applyFont="1" applyFill="1" applyBorder="1" applyAlignment="1">
      <alignment/>
    </xf>
    <xf numFmtId="2" fontId="4" fillId="0" borderId="4" xfId="0" applyNumberFormat="1" applyFont="1" applyFill="1" applyBorder="1" applyAlignment="1">
      <alignment/>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2" fillId="0" borderId="1" xfId="0" applyFont="1" applyBorder="1" applyAlignment="1">
      <alignment vertical="top" wrapText="1"/>
    </xf>
    <xf numFmtId="0" fontId="1" fillId="0" borderId="0" xfId="0" applyFont="1" applyAlignment="1">
      <alignment horizontal="center" vertical="center" wrapText="1"/>
    </xf>
    <xf numFmtId="0" fontId="0" fillId="0" borderId="1" xfId="0" applyNumberFormat="1" applyFont="1" applyFill="1" applyBorder="1" applyAlignment="1">
      <alignment wrapText="1"/>
    </xf>
    <xf numFmtId="0" fontId="5" fillId="0" borderId="1" xfId="0" applyFont="1" applyBorder="1" applyAlignment="1">
      <alignment horizontal="center" textRotation="90" wrapText="1"/>
    </xf>
    <xf numFmtId="0" fontId="0" fillId="2" borderId="0" xfId="0" applyFill="1" applyAlignment="1">
      <alignment/>
    </xf>
    <xf numFmtId="0" fontId="0" fillId="3" borderId="1" xfId="0" applyFill="1" applyBorder="1" applyAlignment="1">
      <alignment/>
    </xf>
    <xf numFmtId="0" fontId="4" fillId="0" borderId="2" xfId="0" applyFont="1" applyBorder="1" applyAlignment="1">
      <alignment horizontal="centerContinuous"/>
    </xf>
    <xf numFmtId="0" fontId="4" fillId="2" borderId="7" xfId="0" applyFont="1" applyFill="1" applyBorder="1" applyAlignment="1">
      <alignment horizontal="centerContinuous"/>
    </xf>
    <xf numFmtId="0" fontId="4" fillId="2" borderId="1" xfId="0" applyFont="1" applyFill="1" applyBorder="1" applyAlignment="1">
      <alignment horizontal="centerContinuous"/>
    </xf>
    <xf numFmtId="0" fontId="4" fillId="0" borderId="5" xfId="0" applyFont="1" applyBorder="1" applyAlignment="1">
      <alignment/>
    </xf>
    <xf numFmtId="0" fontId="4" fillId="0" borderId="7" xfId="0" applyFont="1" applyBorder="1" applyAlignment="1">
      <alignment/>
    </xf>
    <xf numFmtId="166" fontId="4" fillId="0" borderId="1" xfId="0" applyNumberFormat="1" applyFont="1" applyBorder="1" applyAlignment="1">
      <alignment/>
    </xf>
    <xf numFmtId="0" fontId="4" fillId="0" borderId="1" xfId="0" applyFont="1" applyBorder="1" applyAlignment="1">
      <alignment horizontal="center" textRotation="90" wrapText="1"/>
    </xf>
    <xf numFmtId="165" fontId="4" fillId="0" borderId="0" xfId="0" applyNumberFormat="1" applyFont="1" applyFill="1" applyBorder="1" applyAlignment="1">
      <alignment/>
    </xf>
    <xf numFmtId="0" fontId="0" fillId="0" borderId="0" xfId="0" applyBorder="1" applyAlignment="1">
      <alignment/>
    </xf>
    <xf numFmtId="2" fontId="4" fillId="0" borderId="1" xfId="0" applyNumberFormat="1" applyFont="1" applyBorder="1" applyAlignment="1">
      <alignment horizontal="left"/>
    </xf>
    <xf numFmtId="0" fontId="5" fillId="0" borderId="1" xfId="0" applyNumberFormat="1" applyFont="1" applyFill="1" applyBorder="1" applyAlignment="1">
      <alignment horizontal="center"/>
    </xf>
    <xf numFmtId="171" fontId="4" fillId="0" borderId="1" xfId="0" applyNumberFormat="1" applyFont="1" applyFill="1" applyBorder="1" applyAlignment="1">
      <alignment/>
    </xf>
    <xf numFmtId="171" fontId="4" fillId="3" borderId="1" xfId="0" applyNumberFormat="1" applyFont="1" applyFill="1" applyBorder="1" applyAlignment="1">
      <alignment/>
    </xf>
    <xf numFmtId="171" fontId="4" fillId="0" borderId="1" xfId="0" applyNumberFormat="1" applyFont="1" applyBorder="1" applyAlignment="1">
      <alignment/>
    </xf>
    <xf numFmtId="171" fontId="4" fillId="2" borderId="1" xfId="0" applyNumberFormat="1" applyFont="1" applyFill="1" applyBorder="1" applyAlignment="1">
      <alignment/>
    </xf>
    <xf numFmtId="0" fontId="4" fillId="0" borderId="5" xfId="0" applyNumberFormat="1" applyFont="1" applyBorder="1" applyAlignment="1">
      <alignment/>
    </xf>
    <xf numFmtId="0" fontId="4" fillId="0" borderId="7" xfId="0" applyNumberFormat="1" applyFont="1" applyBorder="1" applyAlignment="1">
      <alignment/>
    </xf>
    <xf numFmtId="0" fontId="4" fillId="2" borderId="1" xfId="0" applyNumberFormat="1" applyFont="1" applyFill="1" applyBorder="1" applyAlignment="1">
      <alignment/>
    </xf>
    <xf numFmtId="0" fontId="5" fillId="0" borderId="1" xfId="0" applyNumberFormat="1" applyFont="1" applyBorder="1" applyAlignment="1">
      <alignment/>
    </xf>
    <xf numFmtId="0" fontId="5" fillId="0" borderId="5" xfId="0" applyNumberFormat="1" applyFont="1" applyBorder="1" applyAlignment="1">
      <alignment horizontal="centerContinuous" wrapText="1"/>
    </xf>
    <xf numFmtId="0" fontId="0" fillId="0" borderId="5" xfId="0" applyBorder="1" applyAlignment="1">
      <alignment horizontal="centerContinuous"/>
    </xf>
    <xf numFmtId="0" fontId="4" fillId="0" borderId="5" xfId="0" applyNumberFormat="1" applyFont="1" applyFill="1" applyBorder="1" applyAlignment="1">
      <alignment/>
    </xf>
    <xf numFmtId="0" fontId="4" fillId="0" borderId="7" xfId="0" applyNumberFormat="1" applyFont="1" applyFill="1" applyBorder="1" applyAlignment="1">
      <alignment/>
    </xf>
    <xf numFmtId="0" fontId="5" fillId="0" borderId="2" xfId="0" applyFont="1" applyBorder="1" applyAlignment="1">
      <alignment wrapText="1"/>
    </xf>
    <xf numFmtId="171" fontId="4" fillId="0" borderId="1" xfId="0" applyNumberFormat="1" applyFont="1" applyBorder="1" applyAlignment="1">
      <alignment horizontal="left"/>
    </xf>
    <xf numFmtId="171" fontId="4" fillId="2" borderId="1" xfId="0" applyNumberFormat="1" applyFont="1" applyFill="1" applyBorder="1" applyAlignment="1">
      <alignment horizontal="left"/>
    </xf>
    <xf numFmtId="171" fontId="4" fillId="0" borderId="1" xfId="0" applyNumberFormat="1" applyFont="1" applyFill="1" applyBorder="1" applyAlignment="1">
      <alignment horizontal="left"/>
    </xf>
    <xf numFmtId="0" fontId="4" fillId="2" borderId="1" xfId="0" applyFont="1" applyFill="1" applyBorder="1" applyAlignment="1">
      <alignment/>
    </xf>
    <xf numFmtId="0" fontId="5" fillId="0" borderId="1" xfId="0" applyFont="1" applyBorder="1" applyAlignment="1">
      <alignment wrapText="1"/>
    </xf>
    <xf numFmtId="171" fontId="4" fillId="0" borderId="1" xfId="0" applyNumberFormat="1" applyFont="1" applyFill="1" applyBorder="1" applyAlignment="1">
      <alignment horizontal="right"/>
    </xf>
    <xf numFmtId="0" fontId="5" fillId="0" borderId="5" xfId="0" applyFont="1" applyBorder="1" applyAlignment="1">
      <alignment horizontal="centerContinuous" wrapText="1"/>
    </xf>
    <xf numFmtId="0" fontId="5" fillId="0" borderId="0" xfId="0" applyFont="1" applyFill="1" applyAlignment="1">
      <alignment/>
    </xf>
    <xf numFmtId="0" fontId="5" fillId="0" borderId="0" xfId="0" applyNumberFormat="1" applyFont="1" applyFill="1" applyAlignment="1">
      <alignment/>
    </xf>
    <xf numFmtId="0" fontId="4" fillId="2" borderId="0" xfId="0" applyFont="1" applyFill="1" applyBorder="1" applyAlignment="1">
      <alignment/>
    </xf>
    <xf numFmtId="0" fontId="4" fillId="0" borderId="0" xfId="0" applyFont="1" applyAlignment="1">
      <alignment horizontal="centerContinuous"/>
    </xf>
    <xf numFmtId="0" fontId="4" fillId="3" borderId="3" xfId="0" applyFont="1" applyFill="1" applyBorder="1" applyAlignment="1">
      <alignment horizontal="center" wrapText="1"/>
    </xf>
    <xf numFmtId="0" fontId="4" fillId="3" borderId="3" xfId="0" applyFont="1" applyFill="1" applyBorder="1" applyAlignment="1">
      <alignment horizontal="center" textRotation="90" wrapText="1"/>
    </xf>
    <xf numFmtId="0" fontId="13" fillId="0" borderId="0" xfId="0" applyFont="1" applyFill="1" applyBorder="1" applyAlignment="1">
      <alignment horizontal="center"/>
    </xf>
    <xf numFmtId="0" fontId="13" fillId="0" borderId="0" xfId="0" applyNumberFormat="1" applyFon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4" fillId="0" borderId="0" xfId="0" applyFont="1" applyFill="1" applyBorder="1" applyAlignment="1">
      <alignment horizontal="center"/>
    </xf>
    <xf numFmtId="0" fontId="13" fillId="0" borderId="0" xfId="0" applyFont="1" applyFill="1" applyBorder="1" applyAlignment="1">
      <alignment/>
    </xf>
    <xf numFmtId="171" fontId="4" fillId="0" borderId="4" xfId="0" applyNumberFormat="1" applyFont="1" applyFill="1" applyBorder="1" applyAlignment="1">
      <alignment/>
    </xf>
    <xf numFmtId="0" fontId="4" fillId="0" borderId="0" xfId="0" applyFont="1" applyFill="1" applyBorder="1" applyAlignment="1">
      <alignment/>
    </xf>
    <xf numFmtId="0" fontId="4" fillId="0" borderId="4" xfId="0" applyNumberFormat="1" applyFont="1" applyFill="1" applyBorder="1" applyAlignment="1">
      <alignment/>
    </xf>
    <xf numFmtId="171" fontId="1" fillId="0" borderId="0" xfId="0" applyNumberFormat="1" applyFont="1" applyFill="1" applyBorder="1" applyAlignment="1">
      <alignment/>
    </xf>
    <xf numFmtId="14" fontId="4" fillId="0" borderId="0" xfId="0" applyNumberFormat="1" applyFont="1" applyAlignment="1">
      <alignment/>
    </xf>
    <xf numFmtId="14" fontId="5" fillId="3" borderId="3" xfId="0" applyNumberFormat="1" applyFont="1" applyFill="1" applyBorder="1" applyAlignment="1">
      <alignment/>
    </xf>
    <xf numFmtId="0" fontId="5" fillId="0" borderId="1" xfId="0" applyFont="1" applyBorder="1" applyAlignment="1">
      <alignment horizontal="left"/>
    </xf>
    <xf numFmtId="0" fontId="14" fillId="0" borderId="0" xfId="0" applyFont="1" applyFill="1" applyBorder="1" applyAlignment="1">
      <alignment/>
    </xf>
    <xf numFmtId="0" fontId="10" fillId="0" borderId="1" xfId="0" applyFont="1" applyFill="1" applyBorder="1" applyAlignment="1">
      <alignment/>
    </xf>
    <xf numFmtId="171" fontId="10" fillId="0" borderId="1" xfId="0" applyNumberFormat="1" applyFont="1" applyFill="1" applyBorder="1" applyAlignment="1">
      <alignment/>
    </xf>
    <xf numFmtId="0" fontId="10" fillId="0" borderId="1" xfId="0" applyNumberFormat="1" applyFont="1" applyFill="1" applyBorder="1" applyAlignment="1">
      <alignment/>
    </xf>
    <xf numFmtId="2" fontId="10" fillId="0" borderId="1" xfId="0" applyNumberFormat="1" applyFont="1" applyFill="1" applyBorder="1" applyAlignment="1">
      <alignment/>
    </xf>
    <xf numFmtId="165" fontId="10" fillId="0" borderId="1" xfId="0" applyNumberFormat="1" applyFont="1" applyFill="1" applyBorder="1" applyAlignment="1">
      <alignment/>
    </xf>
    <xf numFmtId="0" fontId="10" fillId="0" borderId="1" xfId="0" applyFont="1" applyFill="1" applyBorder="1" applyAlignment="1">
      <alignment horizontal="right"/>
    </xf>
    <xf numFmtId="166" fontId="10" fillId="0" borderId="1" xfId="0" applyNumberFormat="1" applyFont="1" applyFill="1" applyBorder="1" applyAlignment="1">
      <alignment/>
    </xf>
    <xf numFmtId="0" fontId="4" fillId="9" borderId="1" xfId="0" applyNumberFormat="1" applyFont="1" applyFill="1" applyBorder="1" applyAlignment="1">
      <alignment horizontal="left"/>
    </xf>
    <xf numFmtId="0" fontId="15" fillId="0" borderId="0" xfId="0" applyFont="1" applyAlignment="1">
      <alignment/>
    </xf>
    <xf numFmtId="0" fontId="0" fillId="0" borderId="0" xfId="0" applyAlignment="1">
      <alignment wrapText="1"/>
    </xf>
    <xf numFmtId="0" fontId="0" fillId="0" borderId="8" xfId="0" applyBorder="1" applyAlignment="1">
      <alignment wrapText="1"/>
    </xf>
    <xf numFmtId="0" fontId="1" fillId="0" borderId="0" xfId="0" applyFont="1" applyAlignment="1">
      <alignment/>
    </xf>
    <xf numFmtId="0" fontId="0" fillId="0" borderId="8" xfId="0" applyBorder="1" applyAlignment="1">
      <alignment/>
    </xf>
    <xf numFmtId="0" fontId="0" fillId="0" borderId="0" xfId="0" applyAlignment="1">
      <alignment horizontal="justify"/>
    </xf>
    <xf numFmtId="0" fontId="0" fillId="0" borderId="8" xfId="0" applyBorder="1" applyAlignment="1">
      <alignment horizontal="justify"/>
    </xf>
    <xf numFmtId="49" fontId="0" fillId="0" borderId="0" xfId="0" applyNumberFormat="1" applyAlignment="1">
      <alignment horizontal="justify"/>
    </xf>
    <xf numFmtId="49" fontId="0" fillId="0" borderId="8" xfId="0" applyNumberFormat="1" applyBorder="1" applyAlignment="1">
      <alignment horizontal="justify"/>
    </xf>
    <xf numFmtId="0" fontId="14" fillId="0" borderId="0" xfId="0" applyFont="1" applyAlignment="1">
      <alignment/>
    </xf>
    <xf numFmtId="49" fontId="0" fillId="0" borderId="0" xfId="0" applyNumberFormat="1" applyAlignment="1">
      <alignment/>
    </xf>
    <xf numFmtId="49" fontId="0" fillId="0" borderId="0" xfId="0" applyNumberFormat="1" applyBorder="1" applyAlignment="1">
      <alignment horizontal="justify"/>
    </xf>
    <xf numFmtId="49" fontId="0" fillId="10" borderId="0" xfId="0" applyNumberFormat="1" applyFill="1" applyAlignment="1">
      <alignment horizont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16</xdr:row>
      <xdr:rowOff>9525</xdr:rowOff>
    </xdr:from>
    <xdr:to>
      <xdr:col>15</xdr:col>
      <xdr:colOff>76200</xdr:colOff>
      <xdr:row>21</xdr:row>
      <xdr:rowOff>28575</xdr:rowOff>
    </xdr:to>
    <xdr:sp>
      <xdr:nvSpPr>
        <xdr:cNvPr id="1" name="Text 1"/>
        <xdr:cNvSpPr txBox="1">
          <a:spLocks noChangeArrowheads="1"/>
        </xdr:cNvSpPr>
      </xdr:nvSpPr>
      <xdr:spPr>
        <a:xfrm>
          <a:off x="2171700" y="3286125"/>
          <a:ext cx="7515225"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This table relates only to EDI 814's, and is intended to assist with the translation of the (now defunct) Detail Record Indicator into EDI terminology.  This is being provided because it is conceivable that many systems that were built to comply with EDI 3070 and the original EBT standards will continue to use the Detail Record Indicator.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8</xdr:row>
      <xdr:rowOff>9525</xdr:rowOff>
    </xdr:from>
    <xdr:to>
      <xdr:col>31</xdr:col>
      <xdr:colOff>0</xdr:colOff>
      <xdr:row>11</xdr:row>
      <xdr:rowOff>66675</xdr:rowOff>
    </xdr:to>
    <xdr:sp>
      <xdr:nvSpPr>
        <xdr:cNvPr id="1" name="Text 1"/>
        <xdr:cNvSpPr txBox="1">
          <a:spLocks noChangeArrowheads="1"/>
        </xdr:cNvSpPr>
      </xdr:nvSpPr>
      <xdr:spPr>
        <a:xfrm>
          <a:off x="9725025" y="3152775"/>
          <a:ext cx="5381625" cy="542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Actual number of history segments available for a specific customer account may be more or less than twelve (12) depending on billing activity during the year.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257175</xdr:colOff>
      <xdr:row>21</xdr:row>
      <xdr:rowOff>76200</xdr:rowOff>
    </xdr:from>
    <xdr:to>
      <xdr:col>33</xdr:col>
      <xdr:colOff>238125</xdr:colOff>
      <xdr:row>24</xdr:row>
      <xdr:rowOff>142875</xdr:rowOff>
    </xdr:to>
    <xdr:sp>
      <xdr:nvSpPr>
        <xdr:cNvPr id="1" name="Text 3"/>
        <xdr:cNvSpPr txBox="1">
          <a:spLocks noChangeArrowheads="1"/>
        </xdr:cNvSpPr>
      </xdr:nvSpPr>
      <xdr:spPr>
        <a:xfrm>
          <a:off x="14430375" y="2657475"/>
          <a:ext cx="24098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Note:  Decimal points are "implied" on all EDI 810 fields except sales tax  - they are shown in these layouts only for clarification.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190500</xdr:colOff>
      <xdr:row>19</xdr:row>
      <xdr:rowOff>0</xdr:rowOff>
    </xdr:from>
    <xdr:to>
      <xdr:col>34</xdr:col>
      <xdr:colOff>85725</xdr:colOff>
      <xdr:row>21</xdr:row>
      <xdr:rowOff>85725</xdr:rowOff>
    </xdr:to>
    <xdr:sp>
      <xdr:nvSpPr>
        <xdr:cNvPr id="1" name="Text 4"/>
        <xdr:cNvSpPr txBox="1">
          <a:spLocks noChangeArrowheads="1"/>
        </xdr:cNvSpPr>
      </xdr:nvSpPr>
      <xdr:spPr>
        <a:xfrm>
          <a:off x="11601450" y="2486025"/>
          <a:ext cx="22860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Note:  Decimal points are "implied" - they are shown in these layouts only for clarification.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8</xdr:row>
      <xdr:rowOff>9525</xdr:rowOff>
    </xdr:from>
    <xdr:to>
      <xdr:col>6</xdr:col>
      <xdr:colOff>676275</xdr:colOff>
      <xdr:row>11</xdr:row>
      <xdr:rowOff>9525</xdr:rowOff>
    </xdr:to>
    <xdr:sp>
      <xdr:nvSpPr>
        <xdr:cNvPr id="1" name="Text 3"/>
        <xdr:cNvSpPr txBox="1">
          <a:spLocks noChangeArrowheads="1"/>
        </xdr:cNvSpPr>
      </xdr:nvSpPr>
      <xdr:spPr>
        <a:xfrm>
          <a:off x="457200" y="942975"/>
          <a:ext cx="3419475" cy="485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Because the net ACH amount is "positive" (due to the returned check), no funds would be transferred.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zoomScale="75" zoomScaleNormal="75" workbookViewId="0" topLeftCell="A1">
      <selection activeCell="C36" sqref="C36"/>
      <selection activeCell="D7" sqref="D7"/>
    </sheetView>
  </sheetViews>
  <sheetFormatPr defaultColWidth="9.140625" defaultRowHeight="12.75"/>
  <cols>
    <col min="1" max="2" width="11.00390625" style="89" customWidth="1"/>
    <col min="3" max="3" width="7.7109375" style="89" customWidth="1"/>
    <col min="4" max="4" width="15.421875" style="89" customWidth="1"/>
    <col min="5" max="5" width="54.57421875" style="84" customWidth="1"/>
    <col min="6" max="6" width="71.28125" style="85" customWidth="1"/>
    <col min="7" max="16384" width="8.8515625" style="84" customWidth="1"/>
  </cols>
  <sheetData>
    <row r="1" spans="1:6" s="87" customFormat="1" ht="38.25">
      <c r="A1" s="86" t="s">
        <v>0</v>
      </c>
      <c r="B1" s="158" t="s">
        <v>1</v>
      </c>
      <c r="C1" s="86" t="s">
        <v>2</v>
      </c>
      <c r="D1" s="86" t="s">
        <v>3</v>
      </c>
      <c r="E1" s="86" t="s">
        <v>4</v>
      </c>
      <c r="F1" s="86" t="s">
        <v>5</v>
      </c>
    </row>
    <row r="2" spans="1:6" ht="51">
      <c r="A2" s="88" t="s">
        <v>6</v>
      </c>
      <c r="B2" s="159" t="s">
        <v>7</v>
      </c>
      <c r="C2" s="88" t="s">
        <v>8</v>
      </c>
      <c r="D2" s="88" t="s">
        <v>9</v>
      </c>
      <c r="E2" s="122" t="s">
        <v>10</v>
      </c>
      <c r="F2" s="122" t="s">
        <v>11</v>
      </c>
    </row>
    <row r="3" spans="1:6" ht="51">
      <c r="A3" s="88" t="s">
        <v>12</v>
      </c>
      <c r="B3" s="159" t="s">
        <v>7</v>
      </c>
      <c r="C3" s="88" t="s">
        <v>8</v>
      </c>
      <c r="D3" s="88" t="s">
        <v>13</v>
      </c>
      <c r="E3" s="122" t="s">
        <v>14</v>
      </c>
      <c r="F3" s="122" t="s">
        <v>15</v>
      </c>
    </row>
    <row r="4" spans="1:6" ht="25.5">
      <c r="A4" s="88" t="s">
        <v>16</v>
      </c>
      <c r="B4" s="159" t="s">
        <v>7</v>
      </c>
      <c r="C4" s="88" t="s">
        <v>8</v>
      </c>
      <c r="D4" s="88" t="s">
        <v>17</v>
      </c>
      <c r="E4" s="122" t="s">
        <v>18</v>
      </c>
      <c r="F4" s="122" t="s">
        <v>19</v>
      </c>
    </row>
    <row r="5" spans="1:6" ht="63.75">
      <c r="A5" s="88" t="s">
        <v>20</v>
      </c>
      <c r="B5" s="159" t="s">
        <v>21</v>
      </c>
      <c r="C5" s="88" t="s">
        <v>8</v>
      </c>
      <c r="D5" s="88" t="s">
        <v>22</v>
      </c>
      <c r="E5" s="122" t="s">
        <v>23</v>
      </c>
      <c r="F5" s="122" t="s">
        <v>24</v>
      </c>
    </row>
    <row r="6" spans="1:6" ht="51">
      <c r="A6" s="88" t="s">
        <v>25</v>
      </c>
      <c r="B6" s="159" t="s">
        <v>21</v>
      </c>
      <c r="C6" s="88" t="s">
        <v>8</v>
      </c>
      <c r="D6" s="88" t="s">
        <v>26</v>
      </c>
      <c r="E6" s="85" t="s">
        <v>27</v>
      </c>
      <c r="F6" s="85" t="s">
        <v>28</v>
      </c>
    </row>
    <row r="7" spans="1:6" ht="63.75">
      <c r="A7" s="88" t="s">
        <v>29</v>
      </c>
      <c r="B7" s="159" t="s">
        <v>21</v>
      </c>
      <c r="C7" s="88" t="s">
        <v>8</v>
      </c>
      <c r="D7" s="88" t="s">
        <v>30</v>
      </c>
      <c r="E7" s="85" t="s">
        <v>31</v>
      </c>
      <c r="F7" s="85" t="s">
        <v>32</v>
      </c>
    </row>
    <row r="8" spans="1:6" ht="38.25">
      <c r="A8" s="88" t="s">
        <v>33</v>
      </c>
      <c r="B8" s="159" t="s">
        <v>7</v>
      </c>
      <c r="C8" s="88" t="s">
        <v>34</v>
      </c>
      <c r="D8" s="88" t="s">
        <v>35</v>
      </c>
      <c r="E8" s="85" t="s">
        <v>36</v>
      </c>
      <c r="F8" s="85" t="s">
        <v>37</v>
      </c>
    </row>
    <row r="9" spans="1:6" ht="51">
      <c r="A9" s="88" t="s">
        <v>38</v>
      </c>
      <c r="B9" s="159" t="s">
        <v>7</v>
      </c>
      <c r="C9" s="88" t="s">
        <v>39</v>
      </c>
      <c r="D9" s="88" t="s">
        <v>40</v>
      </c>
      <c r="E9" s="85" t="s">
        <v>41</v>
      </c>
      <c r="F9" s="85" t="s">
        <v>42</v>
      </c>
    </row>
    <row r="10" spans="1:5" ht="12.75">
      <c r="A10" s="88" t="s">
        <v>43</v>
      </c>
      <c r="B10" s="159"/>
      <c r="C10" s="88"/>
      <c r="D10" s="88"/>
      <c r="E10" s="162" t="s">
        <v>44</v>
      </c>
    </row>
    <row r="11" spans="1:6" ht="38.25">
      <c r="A11" s="88" t="s">
        <v>45</v>
      </c>
      <c r="B11" s="159" t="s">
        <v>7</v>
      </c>
      <c r="C11" s="88" t="s">
        <v>46</v>
      </c>
      <c r="D11" s="88" t="s">
        <v>9</v>
      </c>
      <c r="E11" s="85" t="s">
        <v>47</v>
      </c>
      <c r="F11" s="85" t="s">
        <v>48</v>
      </c>
    </row>
    <row r="12" spans="1:6" ht="38.25">
      <c r="A12" s="88" t="s">
        <v>49</v>
      </c>
      <c r="B12" s="159" t="s">
        <v>21</v>
      </c>
      <c r="C12" s="88" t="s">
        <v>50</v>
      </c>
      <c r="D12" s="88" t="s">
        <v>13</v>
      </c>
      <c r="E12" s="85" t="s">
        <v>51</v>
      </c>
      <c r="F12" s="85" t="s">
        <v>52</v>
      </c>
    </row>
    <row r="13" spans="1:6" ht="38.25">
      <c r="A13" s="88" t="s">
        <v>53</v>
      </c>
      <c r="B13" s="159" t="s">
        <v>7</v>
      </c>
      <c r="C13" s="88" t="s">
        <v>50</v>
      </c>
      <c r="D13" s="88" t="s">
        <v>54</v>
      </c>
      <c r="E13" s="85" t="s">
        <v>55</v>
      </c>
      <c r="F13" s="85" t="s">
        <v>56</v>
      </c>
    </row>
    <row r="14" spans="1:6" ht="51">
      <c r="A14" s="88" t="s">
        <v>57</v>
      </c>
      <c r="B14" s="159" t="s">
        <v>7</v>
      </c>
      <c r="C14" s="88" t="s">
        <v>50</v>
      </c>
      <c r="D14" s="88" t="s">
        <v>22</v>
      </c>
      <c r="E14" s="122" t="s">
        <v>58</v>
      </c>
      <c r="F14" s="122" t="s">
        <v>59</v>
      </c>
    </row>
    <row r="15" spans="1:6" ht="38.25">
      <c r="A15" s="88" t="s">
        <v>60</v>
      </c>
      <c r="B15" s="159" t="s">
        <v>7</v>
      </c>
      <c r="C15" s="88" t="s">
        <v>50</v>
      </c>
      <c r="D15" s="88" t="s">
        <v>54</v>
      </c>
      <c r="E15" s="85" t="s">
        <v>61</v>
      </c>
      <c r="F15" s="85" t="s">
        <v>62</v>
      </c>
    </row>
    <row r="16" spans="1:6" ht="38.25">
      <c r="A16" s="88" t="s">
        <v>63</v>
      </c>
      <c r="B16" s="159" t="s">
        <v>7</v>
      </c>
      <c r="C16" s="88" t="s">
        <v>64</v>
      </c>
      <c r="D16" s="88" t="s">
        <v>22</v>
      </c>
      <c r="E16" s="85" t="s">
        <v>65</v>
      </c>
      <c r="F16" s="85" t="s">
        <v>66</v>
      </c>
    </row>
    <row r="17" spans="1:5" ht="12.75">
      <c r="A17" s="88" t="s">
        <v>67</v>
      </c>
      <c r="B17" s="159"/>
      <c r="C17" s="88"/>
      <c r="D17" s="88"/>
      <c r="E17" s="162" t="s">
        <v>44</v>
      </c>
    </row>
    <row r="18" spans="1:6" ht="38.25">
      <c r="A18" s="88" t="s">
        <v>68</v>
      </c>
      <c r="B18" s="159" t="s">
        <v>7</v>
      </c>
      <c r="C18" s="88" t="s">
        <v>46</v>
      </c>
      <c r="D18" s="88" t="s">
        <v>13</v>
      </c>
      <c r="E18" s="85" t="s">
        <v>69</v>
      </c>
      <c r="F18" s="85" t="s">
        <v>70</v>
      </c>
    </row>
    <row r="19" spans="1:6" ht="25.5">
      <c r="A19" s="88" t="s">
        <v>71</v>
      </c>
      <c r="B19" s="159" t="s">
        <v>7</v>
      </c>
      <c r="C19" s="88" t="s">
        <v>46</v>
      </c>
      <c r="D19" s="88" t="s">
        <v>13</v>
      </c>
      <c r="E19" s="85" t="s">
        <v>72</v>
      </c>
      <c r="F19" s="85" t="s">
        <v>73</v>
      </c>
    </row>
    <row r="20" spans="1:6" ht="12.75">
      <c r="A20" s="116"/>
      <c r="B20" s="160"/>
      <c r="C20" s="116"/>
      <c r="D20" s="116"/>
      <c r="E20" s="117"/>
      <c r="F20" s="117"/>
    </row>
    <row r="21" spans="1:6" ht="25.5">
      <c r="A21" s="88" t="s">
        <v>74</v>
      </c>
      <c r="B21" s="159" t="s">
        <v>7</v>
      </c>
      <c r="C21" s="88" t="s">
        <v>75</v>
      </c>
      <c r="D21" s="88" t="s">
        <v>76</v>
      </c>
      <c r="E21" s="85" t="s">
        <v>77</v>
      </c>
      <c r="F21" s="85" t="s">
        <v>78</v>
      </c>
    </row>
    <row r="22" spans="1:6" ht="38.25">
      <c r="A22" s="88" t="s">
        <v>79</v>
      </c>
      <c r="B22" s="159" t="s">
        <v>21</v>
      </c>
      <c r="C22" s="88" t="s">
        <v>75</v>
      </c>
      <c r="D22" s="88" t="s">
        <v>80</v>
      </c>
      <c r="E22" s="85" t="s">
        <v>81</v>
      </c>
      <c r="F22" s="85" t="s">
        <v>82</v>
      </c>
    </row>
    <row r="23" spans="1:6" ht="25.5">
      <c r="A23" s="88" t="s">
        <v>83</v>
      </c>
      <c r="B23" s="159" t="s">
        <v>7</v>
      </c>
      <c r="C23" s="88" t="s">
        <v>75</v>
      </c>
      <c r="D23" s="88" t="s">
        <v>84</v>
      </c>
      <c r="E23" s="85" t="s">
        <v>85</v>
      </c>
      <c r="F23" s="85" t="s">
        <v>86</v>
      </c>
    </row>
    <row r="24" spans="1:6" ht="38.25">
      <c r="A24" s="88" t="s">
        <v>87</v>
      </c>
      <c r="B24" s="159" t="s">
        <v>21</v>
      </c>
      <c r="C24" s="88" t="s">
        <v>75</v>
      </c>
      <c r="D24" s="88" t="s">
        <v>88</v>
      </c>
      <c r="E24" s="85" t="s">
        <v>89</v>
      </c>
      <c r="F24" s="85" t="s">
        <v>90</v>
      </c>
    </row>
    <row r="25" spans="1:6" ht="25.5">
      <c r="A25" s="88" t="s">
        <v>91</v>
      </c>
      <c r="B25" s="159" t="s">
        <v>7</v>
      </c>
      <c r="C25" s="88" t="s">
        <v>75</v>
      </c>
      <c r="D25" s="88" t="s">
        <v>92</v>
      </c>
      <c r="E25" s="85" t="s">
        <v>93</v>
      </c>
      <c r="F25" s="85" t="s">
        <v>94</v>
      </c>
    </row>
    <row r="26" spans="1:6" ht="25.5">
      <c r="A26" s="88" t="s">
        <v>95</v>
      </c>
      <c r="B26" s="159" t="s">
        <v>7</v>
      </c>
      <c r="C26" s="88" t="s">
        <v>75</v>
      </c>
      <c r="D26" s="88" t="s">
        <v>96</v>
      </c>
      <c r="E26" s="85" t="s">
        <v>97</v>
      </c>
      <c r="F26" s="85" t="s">
        <v>98</v>
      </c>
    </row>
    <row r="27" spans="1:6" ht="25.5">
      <c r="A27" s="88" t="s">
        <v>99</v>
      </c>
      <c r="B27" s="159" t="s">
        <v>7</v>
      </c>
      <c r="C27" s="88" t="s">
        <v>75</v>
      </c>
      <c r="D27" s="88" t="s">
        <v>100</v>
      </c>
      <c r="E27" s="85" t="s">
        <v>101</v>
      </c>
      <c r="F27" s="85" t="s">
        <v>102</v>
      </c>
    </row>
    <row r="28" spans="1:6" ht="25.5">
      <c r="A28" s="88" t="s">
        <v>103</v>
      </c>
      <c r="B28" s="159" t="s">
        <v>7</v>
      </c>
      <c r="C28" s="88" t="s">
        <v>75</v>
      </c>
      <c r="D28" s="88" t="s">
        <v>104</v>
      </c>
      <c r="E28" s="85" t="s">
        <v>105</v>
      </c>
      <c r="F28" s="85" t="s">
        <v>106</v>
      </c>
    </row>
    <row r="29" spans="1:6" ht="25.5">
      <c r="A29" s="88" t="s">
        <v>107</v>
      </c>
      <c r="B29" s="159" t="s">
        <v>7</v>
      </c>
      <c r="C29" s="88" t="s">
        <v>75</v>
      </c>
      <c r="D29" s="88" t="s">
        <v>108</v>
      </c>
      <c r="E29" s="85" t="s">
        <v>109</v>
      </c>
      <c r="F29" s="85" t="s">
        <v>110</v>
      </c>
    </row>
    <row r="30" spans="1:6" ht="25.5">
      <c r="A30" s="88" t="s">
        <v>111</v>
      </c>
      <c r="B30" s="159" t="s">
        <v>7</v>
      </c>
      <c r="C30" s="88" t="s">
        <v>75</v>
      </c>
      <c r="D30" s="88" t="s">
        <v>112</v>
      </c>
      <c r="E30" s="85" t="s">
        <v>113</v>
      </c>
      <c r="F30" s="85" t="s">
        <v>114</v>
      </c>
    </row>
    <row r="31" spans="1:6" ht="25.5">
      <c r="A31" s="88" t="s">
        <v>115</v>
      </c>
      <c r="B31" s="159" t="s">
        <v>21</v>
      </c>
      <c r="C31" s="88" t="s">
        <v>75</v>
      </c>
      <c r="D31" s="88" t="s">
        <v>116</v>
      </c>
      <c r="E31" s="85" t="s">
        <v>117</v>
      </c>
      <c r="F31" s="85" t="s">
        <v>118</v>
      </c>
    </row>
    <row r="32" spans="1:6" ht="38.25">
      <c r="A32" s="88" t="s">
        <v>119</v>
      </c>
      <c r="B32" s="159" t="s">
        <v>7</v>
      </c>
      <c r="C32" s="88" t="s">
        <v>75</v>
      </c>
      <c r="D32" s="88" t="s">
        <v>120</v>
      </c>
      <c r="E32" s="119" t="s">
        <v>121</v>
      </c>
      <c r="F32" s="85" t="s">
        <v>122</v>
      </c>
    </row>
    <row r="33" spans="1:6" ht="12.75">
      <c r="A33" s="120"/>
      <c r="B33" s="161"/>
      <c r="C33" s="120"/>
      <c r="D33" s="120"/>
      <c r="E33" s="118"/>
      <c r="F33" s="118"/>
    </row>
    <row r="34" spans="1:6" ht="25.5">
      <c r="A34" s="88" t="s">
        <v>123</v>
      </c>
      <c r="B34" s="159" t="s">
        <v>7</v>
      </c>
      <c r="C34" s="88" t="s">
        <v>124</v>
      </c>
      <c r="D34" s="88" t="s">
        <v>84</v>
      </c>
      <c r="E34" s="122" t="s">
        <v>125</v>
      </c>
      <c r="F34" s="122" t="s">
        <v>126</v>
      </c>
    </row>
    <row r="35" spans="1:6" ht="25.5">
      <c r="A35" s="88" t="s">
        <v>127</v>
      </c>
      <c r="B35" s="159" t="s">
        <v>7</v>
      </c>
      <c r="C35" s="88" t="s">
        <v>124</v>
      </c>
      <c r="D35" s="88" t="s">
        <v>88</v>
      </c>
      <c r="E35" s="122" t="s">
        <v>128</v>
      </c>
      <c r="F35" s="122" t="s">
        <v>129</v>
      </c>
    </row>
    <row r="36" spans="1:6" ht="51">
      <c r="A36" s="88" t="s">
        <v>130</v>
      </c>
      <c r="B36" s="159" t="s">
        <v>7</v>
      </c>
      <c r="C36" s="88" t="s">
        <v>124</v>
      </c>
      <c r="D36" s="88" t="s">
        <v>22</v>
      </c>
      <c r="E36" s="122" t="s">
        <v>131</v>
      </c>
      <c r="F36" s="122" t="s">
        <v>132</v>
      </c>
    </row>
    <row r="37" spans="1:6" ht="25.5">
      <c r="A37" s="88" t="s">
        <v>133</v>
      </c>
      <c r="B37" s="159" t="s">
        <v>7</v>
      </c>
      <c r="C37" s="88" t="s">
        <v>134</v>
      </c>
      <c r="D37" s="88" t="s">
        <v>22</v>
      </c>
      <c r="E37" s="122" t="s">
        <v>135</v>
      </c>
      <c r="F37" s="122" t="s">
        <v>136</v>
      </c>
    </row>
    <row r="38" spans="1:6" ht="12.75">
      <c r="A38" s="120"/>
      <c r="B38" s="161"/>
      <c r="C38" s="120"/>
      <c r="D38" s="120"/>
      <c r="E38" s="118"/>
      <c r="F38" s="118"/>
    </row>
    <row r="39" spans="1:6" ht="25.5">
      <c r="A39" s="88" t="s">
        <v>137</v>
      </c>
      <c r="B39" s="163" t="s">
        <v>7</v>
      </c>
      <c r="C39" s="88" t="s">
        <v>138</v>
      </c>
      <c r="D39" s="164" t="s">
        <v>139</v>
      </c>
      <c r="E39" s="84" t="s">
        <v>140</v>
      </c>
      <c r="F39" s="85" t="s">
        <v>141</v>
      </c>
    </row>
    <row r="40" spans="1:6" ht="12.75">
      <c r="A40" s="120"/>
      <c r="B40" s="161"/>
      <c r="C40" s="120"/>
      <c r="D40" s="120"/>
      <c r="E40" s="118"/>
      <c r="F40" s="118"/>
    </row>
    <row r="41" spans="1:6" ht="38.25">
      <c r="A41" s="88" t="s">
        <v>142</v>
      </c>
      <c r="B41" s="86" t="s">
        <v>7</v>
      </c>
      <c r="C41" s="88" t="s">
        <v>143</v>
      </c>
      <c r="D41" s="164" t="s">
        <v>144</v>
      </c>
      <c r="E41" s="85" t="s">
        <v>145</v>
      </c>
      <c r="F41" s="85" t="s">
        <v>146</v>
      </c>
    </row>
  </sheetData>
  <printOptions/>
  <pageMargins left="0.75" right="0.75" top="1" bottom="1" header="0.5" footer="0.5"/>
  <pageSetup fitToHeight="3" fitToWidth="1" horizontalDpi="600" verticalDpi="600" orientation="landscape" scale="72" r:id="rId1"/>
  <headerFooter alignWithMargins="0">
    <oddHeader>&amp;CEBT Test Conditions
&amp;A</oddHeader>
    <oddFooter>&amp;LVersion 5.0&amp;CPage &amp;P&amp;RIssued:  June 25, 1999
</oddFooter>
  </headerFooter>
</worksheet>
</file>

<file path=xl/worksheets/sheet10.xml><?xml version="1.0" encoding="utf-8"?>
<worksheet xmlns="http://schemas.openxmlformats.org/spreadsheetml/2006/main" xmlns:r="http://schemas.openxmlformats.org/officeDocument/2006/relationships">
  <dimension ref="A1:CJ6"/>
  <sheetViews>
    <sheetView workbookViewId="0" topLeftCell="B1">
      <selection activeCell="A1" sqref="A1"/>
      <selection activeCell="AG11" sqref="AG11"/>
    </sheetView>
  </sheetViews>
  <sheetFormatPr defaultColWidth="9.140625" defaultRowHeight="12.75"/>
  <cols>
    <col min="1" max="1" width="4.57421875" style="10" hidden="1" customWidth="1"/>
    <col min="2" max="3" width="3.00390625" style="10" customWidth="1"/>
    <col min="4" max="4" width="10.28125" style="10" customWidth="1"/>
    <col min="5" max="5" width="29.421875" style="10" customWidth="1"/>
    <col min="6" max="6" width="1.421875" style="10" customWidth="1"/>
    <col min="7" max="8" width="9.8515625" style="10" customWidth="1"/>
    <col min="9" max="10" width="9.140625" style="10" customWidth="1"/>
    <col min="11" max="11" width="12.57421875" style="10" customWidth="1"/>
    <col min="12" max="12" width="13.140625" style="10" customWidth="1"/>
    <col min="13" max="13" width="8.28125" style="10" customWidth="1"/>
    <col min="14" max="14" width="8.57421875" style="10" customWidth="1"/>
    <col min="15" max="15" width="8.28125" style="10" customWidth="1"/>
    <col min="16" max="16" width="9.8515625" style="10" customWidth="1"/>
    <col min="17" max="18" width="7.8515625" style="10" customWidth="1"/>
    <col min="19" max="19" width="3.00390625" style="10" customWidth="1"/>
    <col min="20" max="20" width="5.28125" style="10" customWidth="1"/>
    <col min="21" max="21" width="4.00390625" style="10" customWidth="1"/>
    <col min="22" max="22" width="3.00390625" style="10" customWidth="1"/>
    <col min="23" max="24" width="7.8515625" style="10" customWidth="1"/>
    <col min="25" max="25" width="3.00390625" style="10" customWidth="1"/>
    <col min="26" max="26" width="5.28125" style="10" customWidth="1"/>
    <col min="27" max="27" width="4.00390625" style="10" customWidth="1"/>
    <col min="28" max="28" width="3.00390625" style="10" customWidth="1"/>
    <col min="29" max="30" width="7.8515625" style="10" customWidth="1"/>
    <col min="31" max="31" width="3.00390625" style="10" customWidth="1"/>
    <col min="32" max="32" width="5.28125" style="10" customWidth="1"/>
    <col min="33" max="33" width="4.00390625" style="10" customWidth="1"/>
    <col min="34" max="34" width="3.00390625" style="10" customWidth="1"/>
    <col min="35" max="36" width="7.8515625" style="10" customWidth="1"/>
    <col min="37" max="37" width="3.00390625" style="10" customWidth="1"/>
    <col min="38" max="38" width="5.28125" style="10" customWidth="1"/>
    <col min="39" max="39" width="4.00390625" style="10" customWidth="1"/>
    <col min="40" max="40" width="3.00390625" style="10" customWidth="1"/>
    <col min="41" max="42" width="7.8515625" style="10" customWidth="1"/>
    <col min="43" max="43" width="3.00390625" style="10" customWidth="1"/>
    <col min="44" max="44" width="5.28125" style="10" customWidth="1"/>
    <col min="45" max="45" width="4.00390625" style="10" customWidth="1"/>
    <col min="46" max="46" width="3.00390625" style="10" customWidth="1"/>
    <col min="47" max="48" width="7.8515625" style="10" customWidth="1"/>
    <col min="49" max="49" width="3.00390625" style="10" customWidth="1"/>
    <col min="50" max="50" width="5.28125" style="10" customWidth="1"/>
    <col min="51" max="51" width="4.00390625" style="10" customWidth="1"/>
    <col min="52" max="52" width="3.00390625" style="10" customWidth="1"/>
    <col min="53" max="54" width="7.8515625" style="10" customWidth="1"/>
    <col min="55" max="55" width="3.00390625" style="10" customWidth="1"/>
    <col min="56" max="56" width="5.28125" style="10" customWidth="1"/>
    <col min="57" max="57" width="4.00390625" style="10" customWidth="1"/>
    <col min="58" max="58" width="3.00390625" style="10" customWidth="1"/>
    <col min="59" max="60" width="7.8515625" style="10" customWidth="1"/>
    <col min="61" max="61" width="3.00390625" style="10" customWidth="1"/>
    <col min="62" max="62" width="5.28125" style="10" customWidth="1"/>
    <col min="63" max="63" width="4.00390625" style="10" customWidth="1"/>
    <col min="64" max="64" width="3.00390625" style="10" customWidth="1"/>
    <col min="65" max="66" width="7.8515625" style="10" customWidth="1"/>
    <col min="67" max="67" width="3.00390625" style="10" customWidth="1"/>
    <col min="68" max="68" width="5.28125" style="10" customWidth="1"/>
    <col min="69" max="69" width="4.00390625" style="10" customWidth="1"/>
    <col min="70" max="70" width="3.00390625" style="10" customWidth="1"/>
    <col min="71" max="72" width="7.8515625" style="10" customWidth="1"/>
    <col min="73" max="73" width="3.00390625" style="10" customWidth="1"/>
    <col min="74" max="74" width="5.28125" style="10" customWidth="1"/>
    <col min="75" max="75" width="4.00390625" style="10" customWidth="1"/>
    <col min="76" max="76" width="3.00390625" style="10" customWidth="1"/>
    <col min="77" max="78" width="7.8515625" style="10" customWidth="1"/>
    <col min="79" max="79" width="3.00390625" style="10" customWidth="1"/>
    <col min="80" max="80" width="5.28125" style="10" customWidth="1"/>
    <col min="81" max="81" width="4.00390625" style="10" customWidth="1"/>
    <col min="82" max="82" width="3.00390625" style="10" customWidth="1"/>
    <col min="83" max="84" width="7.8515625" style="10" customWidth="1"/>
    <col min="85" max="85" width="3.00390625" style="10" customWidth="1"/>
    <col min="86" max="86" width="5.28125" style="10" customWidth="1"/>
    <col min="87" max="87" width="4.00390625" style="10" customWidth="1"/>
    <col min="88" max="88" width="3.00390625" style="10" customWidth="1"/>
    <col min="89" max="16384" width="8.8515625" style="10" customWidth="1"/>
  </cols>
  <sheetData>
    <row r="1" spans="2:88" ht="22.5">
      <c r="B1" s="10" t="s">
        <v>216</v>
      </c>
      <c r="C1" s="10" t="s">
        <v>216</v>
      </c>
      <c r="D1" s="7" t="s">
        <v>494</v>
      </c>
      <c r="E1" s="218" t="s">
        <v>588</v>
      </c>
      <c r="F1" s="170" t="s">
        <v>216</v>
      </c>
      <c r="G1" s="54"/>
      <c r="H1" s="54"/>
      <c r="I1" s="54"/>
      <c r="J1" s="54"/>
      <c r="K1" s="168" t="s">
        <v>216</v>
      </c>
      <c r="L1" s="55" t="s">
        <v>216</v>
      </c>
      <c r="M1" s="171" t="s">
        <v>216</v>
      </c>
      <c r="N1" s="171" t="s">
        <v>216</v>
      </c>
      <c r="O1" s="172" t="s">
        <v>216</v>
      </c>
      <c r="P1" s="171"/>
      <c r="Q1" s="168" t="s">
        <v>589</v>
      </c>
      <c r="R1" s="55"/>
      <c r="S1" s="55"/>
      <c r="T1" s="55"/>
      <c r="U1" s="56"/>
      <c r="V1" s="55"/>
      <c r="W1" s="168" t="s">
        <v>590</v>
      </c>
      <c r="X1" s="55"/>
      <c r="Y1" s="55"/>
      <c r="Z1" s="55"/>
      <c r="AA1" s="56"/>
      <c r="AB1" s="55"/>
      <c r="AC1" s="168" t="s">
        <v>591</v>
      </c>
      <c r="AD1" s="55"/>
      <c r="AE1" s="55"/>
      <c r="AF1" s="55"/>
      <c r="AG1" s="56"/>
      <c r="AH1" s="55"/>
      <c r="AI1" s="168" t="s">
        <v>592</v>
      </c>
      <c r="AJ1" s="55"/>
      <c r="AK1" s="55"/>
      <c r="AL1" s="55"/>
      <c r="AM1" s="56"/>
      <c r="AN1" s="55"/>
      <c r="AO1" s="168" t="s">
        <v>593</v>
      </c>
      <c r="AP1" s="55"/>
      <c r="AQ1" s="55"/>
      <c r="AR1" s="55"/>
      <c r="AS1" s="56"/>
      <c r="AT1" s="55"/>
      <c r="AU1" s="168" t="s">
        <v>594</v>
      </c>
      <c r="AV1" s="55"/>
      <c r="AW1" s="55"/>
      <c r="AX1" s="55"/>
      <c r="AY1" s="56"/>
      <c r="AZ1" s="55"/>
      <c r="BA1" s="168" t="s">
        <v>595</v>
      </c>
      <c r="BB1" s="55"/>
      <c r="BC1" s="55"/>
      <c r="BD1" s="55"/>
      <c r="BE1" s="56"/>
      <c r="BF1" s="55"/>
      <c r="BG1" s="168" t="s">
        <v>596</v>
      </c>
      <c r="BH1" s="55"/>
      <c r="BI1" s="55"/>
      <c r="BJ1" s="55"/>
      <c r="BK1" s="56"/>
      <c r="BL1" s="55"/>
      <c r="BM1" s="168" t="s">
        <v>597</v>
      </c>
      <c r="BN1" s="55"/>
      <c r="BO1" s="55"/>
      <c r="BP1" s="55"/>
      <c r="BQ1" s="56"/>
      <c r="BR1" s="55"/>
      <c r="BS1" s="168" t="s">
        <v>598</v>
      </c>
      <c r="BT1" s="55"/>
      <c r="BU1" s="55"/>
      <c r="BV1" s="55"/>
      <c r="BW1" s="56"/>
      <c r="BX1" s="55"/>
      <c r="BY1" s="168" t="s">
        <v>599</v>
      </c>
      <c r="BZ1" s="55"/>
      <c r="CA1" s="55"/>
      <c r="CB1" s="55"/>
      <c r="CC1" s="56"/>
      <c r="CD1" s="55"/>
      <c r="CE1" s="168" t="s">
        <v>600</v>
      </c>
      <c r="CF1" s="55"/>
      <c r="CG1" s="55"/>
      <c r="CH1" s="55"/>
      <c r="CI1" s="55"/>
      <c r="CJ1" s="56"/>
    </row>
    <row r="2" spans="2:88" ht="11.25">
      <c r="B2" s="10" t="s">
        <v>216</v>
      </c>
      <c r="C2" s="10" t="s">
        <v>216</v>
      </c>
      <c r="D2" s="1" t="s">
        <v>601</v>
      </c>
      <c r="E2" s="6" t="s">
        <v>602</v>
      </c>
      <c r="F2" s="169" t="s">
        <v>216</v>
      </c>
      <c r="G2" s="24">
        <v>1</v>
      </c>
      <c r="H2" s="24">
        <v>3</v>
      </c>
      <c r="I2" s="24">
        <v>7</v>
      </c>
      <c r="J2" s="24">
        <v>6</v>
      </c>
      <c r="K2" s="24">
        <v>4</v>
      </c>
      <c r="L2" s="24">
        <v>2</v>
      </c>
      <c r="M2" s="24">
        <v>5</v>
      </c>
      <c r="N2" s="24">
        <v>8</v>
      </c>
      <c r="O2" s="24">
        <v>9</v>
      </c>
      <c r="P2" s="24">
        <v>10</v>
      </c>
      <c r="Q2" s="24">
        <v>15</v>
      </c>
      <c r="R2" s="24">
        <v>16</v>
      </c>
      <c r="S2" s="24">
        <v>14</v>
      </c>
      <c r="T2" s="24">
        <v>13</v>
      </c>
      <c r="U2" s="24">
        <v>11</v>
      </c>
      <c r="V2" s="24">
        <v>12</v>
      </c>
      <c r="W2" s="24">
        <v>15</v>
      </c>
      <c r="X2" s="24">
        <v>16</v>
      </c>
      <c r="Y2" s="24">
        <v>14</v>
      </c>
      <c r="Z2" s="24">
        <v>13</v>
      </c>
      <c r="AA2" s="24">
        <v>11</v>
      </c>
      <c r="AB2" s="24">
        <v>12</v>
      </c>
      <c r="AC2" s="24">
        <v>15</v>
      </c>
      <c r="AD2" s="24">
        <v>16</v>
      </c>
      <c r="AE2" s="24">
        <v>14</v>
      </c>
      <c r="AF2" s="24">
        <v>13</v>
      </c>
      <c r="AG2" s="24">
        <v>11</v>
      </c>
      <c r="AH2" s="24">
        <v>12</v>
      </c>
      <c r="AI2" s="24">
        <v>15</v>
      </c>
      <c r="AJ2" s="24">
        <v>16</v>
      </c>
      <c r="AK2" s="24">
        <v>14</v>
      </c>
      <c r="AL2" s="24">
        <v>13</v>
      </c>
      <c r="AM2" s="24">
        <v>11</v>
      </c>
      <c r="AN2" s="24">
        <v>12</v>
      </c>
      <c r="AO2" s="24">
        <v>15</v>
      </c>
      <c r="AP2" s="24">
        <v>16</v>
      </c>
      <c r="AQ2" s="24">
        <v>14</v>
      </c>
      <c r="AR2" s="24">
        <v>13</v>
      </c>
      <c r="AS2" s="24">
        <v>11</v>
      </c>
      <c r="AT2" s="24">
        <v>12</v>
      </c>
      <c r="AU2" s="24">
        <v>15</v>
      </c>
      <c r="AV2" s="24">
        <v>16</v>
      </c>
      <c r="AW2" s="24">
        <v>14</v>
      </c>
      <c r="AX2" s="24">
        <v>13</v>
      </c>
      <c r="AY2" s="24">
        <v>11</v>
      </c>
      <c r="AZ2" s="24">
        <v>12</v>
      </c>
      <c r="BA2" s="24">
        <v>15</v>
      </c>
      <c r="BB2" s="24">
        <v>16</v>
      </c>
      <c r="BC2" s="24">
        <v>14</v>
      </c>
      <c r="BD2" s="24">
        <v>13</v>
      </c>
      <c r="BE2" s="24">
        <v>11</v>
      </c>
      <c r="BF2" s="24">
        <v>12</v>
      </c>
      <c r="BG2" s="24">
        <v>15</v>
      </c>
      <c r="BH2" s="24">
        <v>16</v>
      </c>
      <c r="BI2" s="24">
        <v>14</v>
      </c>
      <c r="BJ2" s="24">
        <v>13</v>
      </c>
      <c r="BK2" s="24">
        <v>11</v>
      </c>
      <c r="BL2" s="24">
        <v>12</v>
      </c>
      <c r="BM2" s="24">
        <v>15</v>
      </c>
      <c r="BN2" s="24">
        <v>16</v>
      </c>
      <c r="BO2" s="24">
        <v>14</v>
      </c>
      <c r="BP2" s="24">
        <v>13</v>
      </c>
      <c r="BQ2" s="24">
        <v>11</v>
      </c>
      <c r="BR2" s="24">
        <v>12</v>
      </c>
      <c r="BS2" s="24">
        <v>15</v>
      </c>
      <c r="BT2" s="24">
        <v>16</v>
      </c>
      <c r="BU2" s="24">
        <v>14</v>
      </c>
      <c r="BV2" s="24">
        <v>13</v>
      </c>
      <c r="BW2" s="24">
        <v>11</v>
      </c>
      <c r="BX2" s="24">
        <v>12</v>
      </c>
      <c r="BY2" s="24">
        <v>15</v>
      </c>
      <c r="BZ2" s="24">
        <v>16</v>
      </c>
      <c r="CA2" s="24">
        <v>14</v>
      </c>
      <c r="CB2" s="24">
        <v>13</v>
      </c>
      <c r="CC2" s="24">
        <v>11</v>
      </c>
      <c r="CD2" s="24">
        <v>12</v>
      </c>
      <c r="CE2" s="24">
        <v>15</v>
      </c>
      <c r="CF2" s="24">
        <v>16</v>
      </c>
      <c r="CG2" s="24">
        <v>14</v>
      </c>
      <c r="CH2" s="24">
        <v>13</v>
      </c>
      <c r="CI2" s="24">
        <v>11</v>
      </c>
      <c r="CJ2" s="24">
        <v>12</v>
      </c>
    </row>
    <row r="3" spans="2:88" ht="107.25" thickBot="1">
      <c r="B3" s="165" t="s">
        <v>377</v>
      </c>
      <c r="C3" s="165" t="s">
        <v>378</v>
      </c>
      <c r="D3" s="165" t="s">
        <v>379</v>
      </c>
      <c r="E3" s="7" t="s">
        <v>380</v>
      </c>
      <c r="F3" s="9" t="s">
        <v>216</v>
      </c>
      <c r="G3" s="109" t="s">
        <v>381</v>
      </c>
      <c r="H3" s="109" t="s">
        <v>382</v>
      </c>
      <c r="I3" s="109" t="s">
        <v>383</v>
      </c>
      <c r="J3" s="14" t="s">
        <v>385</v>
      </c>
      <c r="K3" s="3" t="s">
        <v>603</v>
      </c>
      <c r="L3" s="3" t="s">
        <v>604</v>
      </c>
      <c r="M3" s="3" t="s">
        <v>387</v>
      </c>
      <c r="N3" s="3" t="s">
        <v>605</v>
      </c>
      <c r="O3" s="3" t="s">
        <v>393</v>
      </c>
      <c r="P3" s="3" t="s">
        <v>394</v>
      </c>
      <c r="Q3" s="174" t="s">
        <v>606</v>
      </c>
      <c r="R3" s="174" t="s">
        <v>607</v>
      </c>
      <c r="S3" s="174" t="s">
        <v>608</v>
      </c>
      <c r="T3" s="174" t="s">
        <v>609</v>
      </c>
      <c r="U3" s="174" t="s">
        <v>610</v>
      </c>
      <c r="V3" s="174" t="s">
        <v>611</v>
      </c>
      <c r="W3" s="174" t="s">
        <v>606</v>
      </c>
      <c r="X3" s="174" t="s">
        <v>607</v>
      </c>
      <c r="Y3" s="174" t="s">
        <v>608</v>
      </c>
      <c r="Z3" s="174" t="s">
        <v>609</v>
      </c>
      <c r="AA3" s="174" t="s">
        <v>610</v>
      </c>
      <c r="AB3" s="174" t="s">
        <v>611</v>
      </c>
      <c r="AC3" s="174" t="s">
        <v>606</v>
      </c>
      <c r="AD3" s="174" t="s">
        <v>607</v>
      </c>
      <c r="AE3" s="174" t="s">
        <v>608</v>
      </c>
      <c r="AF3" s="174" t="s">
        <v>609</v>
      </c>
      <c r="AG3" s="174" t="s">
        <v>610</v>
      </c>
      <c r="AH3" s="174" t="s">
        <v>611</v>
      </c>
      <c r="AI3" s="174" t="s">
        <v>606</v>
      </c>
      <c r="AJ3" s="174" t="s">
        <v>607</v>
      </c>
      <c r="AK3" s="174" t="s">
        <v>608</v>
      </c>
      <c r="AL3" s="174" t="s">
        <v>609</v>
      </c>
      <c r="AM3" s="174" t="s">
        <v>610</v>
      </c>
      <c r="AN3" s="174" t="s">
        <v>611</v>
      </c>
      <c r="AO3" s="174" t="s">
        <v>606</v>
      </c>
      <c r="AP3" s="174" t="s">
        <v>607</v>
      </c>
      <c r="AQ3" s="174" t="s">
        <v>608</v>
      </c>
      <c r="AR3" s="174" t="s">
        <v>609</v>
      </c>
      <c r="AS3" s="174" t="s">
        <v>610</v>
      </c>
      <c r="AT3" s="174" t="s">
        <v>611</v>
      </c>
      <c r="AU3" s="174" t="s">
        <v>606</v>
      </c>
      <c r="AV3" s="174" t="s">
        <v>607</v>
      </c>
      <c r="AW3" s="174" t="s">
        <v>608</v>
      </c>
      <c r="AX3" s="174" t="s">
        <v>609</v>
      </c>
      <c r="AY3" s="174" t="s">
        <v>610</v>
      </c>
      <c r="AZ3" s="174" t="s">
        <v>611</v>
      </c>
      <c r="BA3" s="174" t="s">
        <v>606</v>
      </c>
      <c r="BB3" s="174" t="s">
        <v>607</v>
      </c>
      <c r="BC3" s="174" t="s">
        <v>608</v>
      </c>
      <c r="BD3" s="174" t="s">
        <v>609</v>
      </c>
      <c r="BE3" s="174" t="s">
        <v>610</v>
      </c>
      <c r="BF3" s="174" t="s">
        <v>611</v>
      </c>
      <c r="BG3" s="174" t="s">
        <v>606</v>
      </c>
      <c r="BH3" s="174" t="s">
        <v>607</v>
      </c>
      <c r="BI3" s="174" t="s">
        <v>608</v>
      </c>
      <c r="BJ3" s="174" t="s">
        <v>609</v>
      </c>
      <c r="BK3" s="174" t="s">
        <v>610</v>
      </c>
      <c r="BL3" s="174" t="s">
        <v>611</v>
      </c>
      <c r="BM3" s="174" t="s">
        <v>606</v>
      </c>
      <c r="BN3" s="174" t="s">
        <v>607</v>
      </c>
      <c r="BO3" s="174" t="s">
        <v>608</v>
      </c>
      <c r="BP3" s="174" t="s">
        <v>609</v>
      </c>
      <c r="BQ3" s="174" t="s">
        <v>610</v>
      </c>
      <c r="BR3" s="174" t="s">
        <v>611</v>
      </c>
      <c r="BS3" s="174" t="s">
        <v>606</v>
      </c>
      <c r="BT3" s="174" t="s">
        <v>607</v>
      </c>
      <c r="BU3" s="174" t="s">
        <v>608</v>
      </c>
      <c r="BV3" s="174" t="s">
        <v>609</v>
      </c>
      <c r="BW3" s="174" t="s">
        <v>610</v>
      </c>
      <c r="BX3" s="174" t="s">
        <v>611</v>
      </c>
      <c r="BY3" s="174" t="s">
        <v>606</v>
      </c>
      <c r="BZ3" s="174" t="s">
        <v>607</v>
      </c>
      <c r="CA3" s="174" t="s">
        <v>608</v>
      </c>
      <c r="CB3" s="174" t="s">
        <v>609</v>
      </c>
      <c r="CC3" s="174" t="s">
        <v>610</v>
      </c>
      <c r="CD3" s="174" t="s">
        <v>611</v>
      </c>
      <c r="CE3" s="174" t="s">
        <v>606</v>
      </c>
      <c r="CF3" s="174" t="s">
        <v>607</v>
      </c>
      <c r="CG3" s="174" t="s">
        <v>608</v>
      </c>
      <c r="CH3" s="174" t="s">
        <v>609</v>
      </c>
      <c r="CI3" s="174" t="s">
        <v>610</v>
      </c>
      <c r="CJ3" s="174" t="s">
        <v>611</v>
      </c>
    </row>
    <row r="4" spans="2:88" ht="55.5" customHeight="1" thickBot="1">
      <c r="B4" s="165"/>
      <c r="C4" s="165"/>
      <c r="D4" s="165"/>
      <c r="E4" s="7"/>
      <c r="F4" s="9"/>
      <c r="G4" s="19" t="s">
        <v>409</v>
      </c>
      <c r="H4" s="19" t="s">
        <v>409</v>
      </c>
      <c r="I4" s="19" t="s">
        <v>410</v>
      </c>
      <c r="J4" s="19" t="s">
        <v>412</v>
      </c>
      <c r="K4" s="203" t="s">
        <v>413</v>
      </c>
      <c r="L4" s="203" t="s">
        <v>413</v>
      </c>
      <c r="M4" s="203" t="s">
        <v>414</v>
      </c>
      <c r="N4" s="203" t="s">
        <v>415</v>
      </c>
      <c r="O4" s="203" t="s">
        <v>411</v>
      </c>
      <c r="P4" s="203" t="s">
        <v>409</v>
      </c>
      <c r="Q4" s="204" t="s">
        <v>410</v>
      </c>
      <c r="R4" s="204" t="s">
        <v>410</v>
      </c>
      <c r="S4" s="204" t="s">
        <v>411</v>
      </c>
      <c r="T4" s="204" t="s">
        <v>533</v>
      </c>
      <c r="U4" s="204" t="s">
        <v>534</v>
      </c>
      <c r="V4" s="204" t="s">
        <v>417</v>
      </c>
      <c r="W4" s="204" t="s">
        <v>410</v>
      </c>
      <c r="X4" s="204" t="s">
        <v>410</v>
      </c>
      <c r="Y4" s="204" t="s">
        <v>411</v>
      </c>
      <c r="Z4" s="204" t="s">
        <v>533</v>
      </c>
      <c r="AA4" s="204" t="s">
        <v>534</v>
      </c>
      <c r="AB4" s="204" t="s">
        <v>417</v>
      </c>
      <c r="AC4" s="204" t="s">
        <v>410</v>
      </c>
      <c r="AD4" s="204" t="s">
        <v>410</v>
      </c>
      <c r="AE4" s="204" t="s">
        <v>411</v>
      </c>
      <c r="AF4" s="204" t="s">
        <v>533</v>
      </c>
      <c r="AG4" s="204" t="s">
        <v>534</v>
      </c>
      <c r="AH4" s="204" t="s">
        <v>417</v>
      </c>
      <c r="AI4" s="204" t="s">
        <v>410</v>
      </c>
      <c r="AJ4" s="204" t="s">
        <v>410</v>
      </c>
      <c r="AK4" s="204" t="s">
        <v>411</v>
      </c>
      <c r="AL4" s="204" t="s">
        <v>533</v>
      </c>
      <c r="AM4" s="204" t="s">
        <v>534</v>
      </c>
      <c r="AN4" s="204" t="s">
        <v>417</v>
      </c>
      <c r="AO4" s="204" t="s">
        <v>410</v>
      </c>
      <c r="AP4" s="204" t="s">
        <v>410</v>
      </c>
      <c r="AQ4" s="204" t="s">
        <v>411</v>
      </c>
      <c r="AR4" s="204" t="s">
        <v>533</v>
      </c>
      <c r="AS4" s="204" t="s">
        <v>534</v>
      </c>
      <c r="AT4" s="204" t="s">
        <v>417</v>
      </c>
      <c r="AU4" s="204" t="s">
        <v>410</v>
      </c>
      <c r="AV4" s="204" t="s">
        <v>410</v>
      </c>
      <c r="AW4" s="204" t="s">
        <v>411</v>
      </c>
      <c r="AX4" s="204" t="s">
        <v>533</v>
      </c>
      <c r="AY4" s="204" t="s">
        <v>534</v>
      </c>
      <c r="AZ4" s="204" t="s">
        <v>417</v>
      </c>
      <c r="BA4" s="204" t="s">
        <v>410</v>
      </c>
      <c r="BB4" s="204" t="s">
        <v>410</v>
      </c>
      <c r="BC4" s="204" t="s">
        <v>411</v>
      </c>
      <c r="BD4" s="204" t="s">
        <v>533</v>
      </c>
      <c r="BE4" s="204" t="s">
        <v>534</v>
      </c>
      <c r="BF4" s="204" t="s">
        <v>417</v>
      </c>
      <c r="BG4" s="204" t="s">
        <v>410</v>
      </c>
      <c r="BH4" s="204" t="s">
        <v>410</v>
      </c>
      <c r="BI4" s="204" t="s">
        <v>411</v>
      </c>
      <c r="BJ4" s="204" t="s">
        <v>533</v>
      </c>
      <c r="BK4" s="204" t="s">
        <v>534</v>
      </c>
      <c r="BL4" s="204" t="s">
        <v>417</v>
      </c>
      <c r="BM4" s="204" t="s">
        <v>410</v>
      </c>
      <c r="BN4" s="204" t="s">
        <v>410</v>
      </c>
      <c r="BO4" s="204" t="s">
        <v>411</v>
      </c>
      <c r="BP4" s="204" t="s">
        <v>533</v>
      </c>
      <c r="BQ4" s="204" t="s">
        <v>534</v>
      </c>
      <c r="BR4" s="204" t="s">
        <v>417</v>
      </c>
      <c r="BS4" s="204" t="s">
        <v>410</v>
      </c>
      <c r="BT4" s="204" t="s">
        <v>410</v>
      </c>
      <c r="BU4" s="204" t="s">
        <v>411</v>
      </c>
      <c r="BV4" s="204" t="s">
        <v>533</v>
      </c>
      <c r="BW4" s="204" t="s">
        <v>534</v>
      </c>
      <c r="BX4" s="204" t="s">
        <v>417</v>
      </c>
      <c r="BY4" s="204" t="s">
        <v>410</v>
      </c>
      <c r="BZ4" s="204" t="s">
        <v>410</v>
      </c>
      <c r="CA4" s="204" t="s">
        <v>411</v>
      </c>
      <c r="CB4" s="204" t="s">
        <v>533</v>
      </c>
      <c r="CC4" s="204" t="s">
        <v>534</v>
      </c>
      <c r="CD4" s="204" t="s">
        <v>417</v>
      </c>
      <c r="CE4" s="204" t="s">
        <v>410</v>
      </c>
      <c r="CF4" s="204" t="s">
        <v>410</v>
      </c>
      <c r="CG4" s="204" t="s">
        <v>411</v>
      </c>
      <c r="CH4" s="204" t="s">
        <v>533</v>
      </c>
      <c r="CI4" s="204" t="s">
        <v>534</v>
      </c>
      <c r="CJ4" s="204" t="s">
        <v>417</v>
      </c>
    </row>
    <row r="5" spans="1:88" s="100" customFormat="1" ht="12.75">
      <c r="A5" s="100" t="str">
        <f>CONCATENATE(B5,C5)</f>
        <v>1B28</v>
      </c>
      <c r="B5" s="12" t="s">
        <v>333</v>
      </c>
      <c r="C5" s="12">
        <v>28</v>
      </c>
      <c r="D5" s="12">
        <v>16</v>
      </c>
      <c r="E5" s="12" t="s">
        <v>612</v>
      </c>
      <c r="F5" s="31"/>
      <c r="G5" s="15" t="str">
        <f>'LDC Account Table'!$B$2</f>
        <v>LDCDUNS##</v>
      </c>
      <c r="H5" s="15" t="str">
        <f>'Supplier Account Table'!$B$2</f>
        <v>SUPDUNS##</v>
      </c>
      <c r="I5" s="179">
        <f>VLOOKUP(B5,File_Dates,2,FALSE)</f>
        <v>35979</v>
      </c>
      <c r="J5" s="16"/>
      <c r="K5" s="167" t="s">
        <v>216</v>
      </c>
      <c r="L5" s="1" t="str">
        <f>'Category 814'!M84</f>
        <v>D0000000000012</v>
      </c>
      <c r="M5" s="1" t="str">
        <f>'Category 814'!N84</f>
        <v>IBM</v>
      </c>
      <c r="N5" s="12" t="str">
        <f>VLOOKUP(L5,Customer_File,13,FALSE)</f>
        <v>G-0</v>
      </c>
      <c r="O5" s="12" t="str">
        <f>VLOOKUP(L5,Customer_File,11,FALSE)</f>
        <v>D</v>
      </c>
      <c r="P5" s="12" t="str">
        <f>VLOOKUP(L5,Customer_File,14,FALSE)</f>
        <v>M000000021</v>
      </c>
      <c r="Q5" s="192">
        <f>VLOOKUP(VLOOKUP(L5,Customer_File,9,FALSE),July,2,FALSE)-30</f>
        <v>35955</v>
      </c>
      <c r="R5" s="181">
        <f>Q5-28</f>
        <v>35927</v>
      </c>
      <c r="S5" s="12" t="s">
        <v>421</v>
      </c>
      <c r="T5" s="12">
        <v>15800</v>
      </c>
      <c r="U5" s="173">
        <f>T5/((Q5-R5)*24)</f>
        <v>23.511904761904763</v>
      </c>
      <c r="V5" s="173" t="s">
        <v>613</v>
      </c>
      <c r="W5" s="192">
        <f>R5</f>
        <v>35927</v>
      </c>
      <c r="X5" s="181">
        <f>W5-32</f>
        <v>35895</v>
      </c>
      <c r="Y5" s="18" t="s">
        <v>421</v>
      </c>
      <c r="Z5" s="12">
        <v>15300</v>
      </c>
      <c r="AA5" s="173">
        <f>Z5/((W5-X5)*24)</f>
        <v>19.921875</v>
      </c>
      <c r="AB5" s="173" t="s">
        <v>613</v>
      </c>
      <c r="AC5" s="192">
        <f>X5</f>
        <v>35895</v>
      </c>
      <c r="AD5" s="181">
        <f>AC5-30</f>
        <v>35865</v>
      </c>
      <c r="AE5" s="12" t="s">
        <v>421</v>
      </c>
      <c r="AF5" s="12">
        <v>14500</v>
      </c>
      <c r="AG5" s="173">
        <f>AF5/((AC5-AD5)*24)</f>
        <v>20.13888888888889</v>
      </c>
      <c r="AH5" s="173" t="s">
        <v>613</v>
      </c>
      <c r="AI5" s="192">
        <f>AD5</f>
        <v>35865</v>
      </c>
      <c r="AJ5" s="181">
        <f>AI5-30</f>
        <v>35835</v>
      </c>
      <c r="AK5" s="15" t="s">
        <v>421</v>
      </c>
      <c r="AL5" s="12">
        <v>13600</v>
      </c>
      <c r="AM5" s="173">
        <f>AL5/((AI5-AJ5)*24)</f>
        <v>18.88888888888889</v>
      </c>
      <c r="AN5" s="173" t="s">
        <v>613</v>
      </c>
      <c r="AO5" s="192">
        <f>AJ5</f>
        <v>35835</v>
      </c>
      <c r="AP5" s="181">
        <f>AO5-30</f>
        <v>35805</v>
      </c>
      <c r="AQ5" s="15" t="s">
        <v>421</v>
      </c>
      <c r="AR5" s="12">
        <v>13850</v>
      </c>
      <c r="AS5" s="173">
        <f>AR5/((AO5-AP5)*24)</f>
        <v>19.23611111111111</v>
      </c>
      <c r="AT5" s="173" t="s">
        <v>613</v>
      </c>
      <c r="AU5" s="192">
        <f>AP5</f>
        <v>35805</v>
      </c>
      <c r="AV5" s="181">
        <f>AU5-30</f>
        <v>35775</v>
      </c>
      <c r="AW5" s="15" t="s">
        <v>421</v>
      </c>
      <c r="AX5" s="12">
        <v>14100</v>
      </c>
      <c r="AY5" s="173">
        <f>AX5/((AU5-AV5)*24)</f>
        <v>19.583333333333332</v>
      </c>
      <c r="AZ5" s="173" t="s">
        <v>613</v>
      </c>
      <c r="BA5" s="192">
        <f>AV5</f>
        <v>35775</v>
      </c>
      <c r="BB5" s="181">
        <f>BA5-30</f>
        <v>35745</v>
      </c>
      <c r="BC5" s="15" t="s">
        <v>421</v>
      </c>
      <c r="BD5" s="12">
        <v>15000</v>
      </c>
      <c r="BE5" s="173">
        <f>BD5/((BA5-BB5)*24)</f>
        <v>20.833333333333332</v>
      </c>
      <c r="BF5" s="173" t="s">
        <v>613</v>
      </c>
      <c r="BG5" s="192">
        <f>BB5</f>
        <v>35745</v>
      </c>
      <c r="BH5" s="181">
        <f>BG5-30</f>
        <v>35715</v>
      </c>
      <c r="BI5" s="15" t="s">
        <v>421</v>
      </c>
      <c r="BJ5" s="12">
        <v>15200</v>
      </c>
      <c r="BK5" s="173">
        <f>BJ5/((BG5-BH5)*24)</f>
        <v>21.11111111111111</v>
      </c>
      <c r="BL5" s="173" t="s">
        <v>613</v>
      </c>
      <c r="BM5" s="192">
        <f>BH5</f>
        <v>35715</v>
      </c>
      <c r="BN5" s="181">
        <f>BM5-30</f>
        <v>35685</v>
      </c>
      <c r="BO5" s="15" t="s">
        <v>421</v>
      </c>
      <c r="BP5" s="12">
        <v>18500</v>
      </c>
      <c r="BQ5" s="173">
        <f>BP5/((BM5-BN5)*24)</f>
        <v>25.694444444444443</v>
      </c>
      <c r="BR5" s="173" t="s">
        <v>613</v>
      </c>
      <c r="BS5" s="192">
        <f>BN5</f>
        <v>35685</v>
      </c>
      <c r="BT5" s="181">
        <f>BS5-26</f>
        <v>35659</v>
      </c>
      <c r="BU5" s="15" t="s">
        <v>421</v>
      </c>
      <c r="BV5" s="12">
        <v>20000</v>
      </c>
      <c r="BW5" s="173">
        <f>BV5/((BS5-BT5)*24)</f>
        <v>32.05128205128205</v>
      </c>
      <c r="BX5" s="173" t="s">
        <v>613</v>
      </c>
      <c r="BY5" s="192">
        <f>BT5</f>
        <v>35659</v>
      </c>
      <c r="BZ5" s="181">
        <f>BY5-30</f>
        <v>35629</v>
      </c>
      <c r="CA5" s="15" t="s">
        <v>421</v>
      </c>
      <c r="CB5" s="12">
        <v>23000</v>
      </c>
      <c r="CC5" s="173">
        <f>CB5/((BY5-BZ5)*24)</f>
        <v>31.944444444444443</v>
      </c>
      <c r="CD5" s="173" t="s">
        <v>613</v>
      </c>
      <c r="CE5" s="192">
        <f>BZ5</f>
        <v>35629</v>
      </c>
      <c r="CF5" s="181">
        <f>CE5-33</f>
        <v>35596</v>
      </c>
      <c r="CG5" s="15" t="s">
        <v>421</v>
      </c>
      <c r="CH5" s="12">
        <v>20000</v>
      </c>
      <c r="CI5" s="173">
        <f>CH5/((CE5-CF5)*24)</f>
        <v>25.252525252525253</v>
      </c>
      <c r="CJ5" s="173" t="s">
        <v>613</v>
      </c>
    </row>
    <row r="6" spans="1:88" s="100" customFormat="1" ht="12.75">
      <c r="A6" s="100" t="str">
        <f>CONCATENATE(B6,C6)</f>
        <v>1B29</v>
      </c>
      <c r="B6" s="12" t="s">
        <v>333</v>
      </c>
      <c r="C6" s="12">
        <v>29</v>
      </c>
      <c r="D6" s="12">
        <v>16</v>
      </c>
      <c r="E6" s="12" t="s">
        <v>614</v>
      </c>
      <c r="F6" s="31"/>
      <c r="G6" s="15" t="str">
        <f>'LDC Account Table'!$B$2</f>
        <v>LDCDUNS##</v>
      </c>
      <c r="H6" s="15" t="str">
        <f>'Supplier Account Table'!$B$2</f>
        <v>SUPDUNS##</v>
      </c>
      <c r="I6" s="179">
        <f>VLOOKUP(B6,File_Dates,2,FALSE)</f>
        <v>35979</v>
      </c>
      <c r="J6" s="16"/>
      <c r="K6" s="167" t="s">
        <v>216</v>
      </c>
      <c r="L6" s="1" t="str">
        <f>'Category 814'!M84</f>
        <v>D0000000000012</v>
      </c>
      <c r="M6" s="1" t="str">
        <f>'Category 814'!N84</f>
        <v>IBM</v>
      </c>
      <c r="N6" s="12" t="str">
        <f>VLOOKUP(L6,Customer_File,17,FALSE)</f>
        <v>G-1</v>
      </c>
      <c r="O6" s="12" t="str">
        <f>VLOOKUP(L6,Customer_File,15,FALSE)</f>
        <v>D</v>
      </c>
      <c r="P6" s="12" t="str">
        <f>VLOOKUP(L6,Customer_File,18,FALSE)</f>
        <v>M000000022</v>
      </c>
      <c r="Q6" s="192">
        <f>VLOOKUP(VLOOKUP(L6,Customer_File,9,FALSE),July,2,FALSE)-30</f>
        <v>35955</v>
      </c>
      <c r="R6" s="181">
        <f>R5</f>
        <v>35927</v>
      </c>
      <c r="S6" s="12" t="str">
        <f>S5</f>
        <v>A</v>
      </c>
      <c r="T6" s="12">
        <v>12100</v>
      </c>
      <c r="U6" s="173">
        <f>T6/((Q6-R6)*24)</f>
        <v>18.00595238095238</v>
      </c>
      <c r="V6" s="173" t="s">
        <v>613</v>
      </c>
      <c r="W6" s="192">
        <f>R6</f>
        <v>35927</v>
      </c>
      <c r="X6" s="181">
        <f>X5</f>
        <v>35895</v>
      </c>
      <c r="Y6" s="18" t="s">
        <v>421</v>
      </c>
      <c r="Z6" s="12">
        <v>10200</v>
      </c>
      <c r="AA6" s="173">
        <f>Z6/((W6-X6)*24)</f>
        <v>13.28125</v>
      </c>
      <c r="AB6" s="173" t="s">
        <v>613</v>
      </c>
      <c r="AC6" s="192">
        <f>X6</f>
        <v>35895</v>
      </c>
      <c r="AD6" s="181">
        <f>AD5</f>
        <v>35865</v>
      </c>
      <c r="AE6" s="12" t="s">
        <v>421</v>
      </c>
      <c r="AF6" s="12">
        <v>9250</v>
      </c>
      <c r="AG6" s="173">
        <f>AF6/((AC6-AD6)*24)</f>
        <v>12.847222222222221</v>
      </c>
      <c r="AH6" s="173" t="s">
        <v>613</v>
      </c>
      <c r="AI6" s="192">
        <f>AD6</f>
        <v>35865</v>
      </c>
      <c r="AJ6" s="181">
        <f>AJ5</f>
        <v>35835</v>
      </c>
      <c r="AK6" s="15" t="s">
        <v>421</v>
      </c>
      <c r="AL6" s="12">
        <v>8790</v>
      </c>
      <c r="AM6" s="173">
        <f>AL6/((AI6-AJ6)*24)</f>
        <v>12.208333333333334</v>
      </c>
      <c r="AN6" s="173" t="s">
        <v>613</v>
      </c>
      <c r="AO6" s="192">
        <f>AJ6</f>
        <v>35835</v>
      </c>
      <c r="AP6" s="181">
        <f>AP5</f>
        <v>35805</v>
      </c>
      <c r="AQ6" s="15" t="s">
        <v>421</v>
      </c>
      <c r="AR6" s="12">
        <v>9000</v>
      </c>
      <c r="AS6" s="173">
        <f>AR6/((AO6-AP6)*24)</f>
        <v>12.5</v>
      </c>
      <c r="AT6" s="173" t="s">
        <v>613</v>
      </c>
      <c r="AU6" s="192">
        <f>AP6</f>
        <v>35805</v>
      </c>
      <c r="AV6" s="181">
        <f>AV5</f>
        <v>35775</v>
      </c>
      <c r="AW6" s="15" t="s">
        <v>421</v>
      </c>
      <c r="AX6" s="12">
        <v>9200</v>
      </c>
      <c r="AY6" s="173">
        <f>AX6/((AU6-AV6)*24)</f>
        <v>12.777777777777779</v>
      </c>
      <c r="AZ6" s="173" t="s">
        <v>613</v>
      </c>
      <c r="BA6" s="192">
        <f>AV6</f>
        <v>35775</v>
      </c>
      <c r="BB6" s="181">
        <f>BB5</f>
        <v>35745</v>
      </c>
      <c r="BC6" s="15" t="s">
        <v>421</v>
      </c>
      <c r="BD6" s="12">
        <v>9300</v>
      </c>
      <c r="BE6" s="173">
        <f>BD6/((BA6-BB6)*24)</f>
        <v>12.916666666666666</v>
      </c>
      <c r="BF6" s="173" t="s">
        <v>613</v>
      </c>
      <c r="BG6" s="192">
        <f>BB6</f>
        <v>35745</v>
      </c>
      <c r="BH6" s="181">
        <f>BH5</f>
        <v>35715</v>
      </c>
      <c r="BI6" s="15" t="s">
        <v>421</v>
      </c>
      <c r="BJ6" s="12">
        <v>9700</v>
      </c>
      <c r="BK6" s="173">
        <f>BJ6/((BG6-BH6)*24)</f>
        <v>13.472222222222221</v>
      </c>
      <c r="BL6" s="173" t="s">
        <v>613</v>
      </c>
      <c r="BM6" s="192">
        <f>BH6</f>
        <v>35715</v>
      </c>
      <c r="BN6" s="181">
        <f>BN5</f>
        <v>35685</v>
      </c>
      <c r="BO6" s="15" t="s">
        <v>421</v>
      </c>
      <c r="BP6" s="12">
        <v>12500</v>
      </c>
      <c r="BQ6" s="173">
        <f>BP6/((BM6-BN6)*24)</f>
        <v>17.36111111111111</v>
      </c>
      <c r="BR6" s="173" t="s">
        <v>613</v>
      </c>
      <c r="BS6" s="192">
        <f>BN6</f>
        <v>35685</v>
      </c>
      <c r="BT6" s="181">
        <f>BT5</f>
        <v>35659</v>
      </c>
      <c r="BU6" s="15" t="s">
        <v>421</v>
      </c>
      <c r="BV6" s="12">
        <v>16400</v>
      </c>
      <c r="BW6" s="173">
        <f>BV6/((BS6-BT6)*24)</f>
        <v>26.28205128205128</v>
      </c>
      <c r="BX6" s="173" t="s">
        <v>613</v>
      </c>
      <c r="BY6" s="192">
        <f>BT6</f>
        <v>35659</v>
      </c>
      <c r="BZ6" s="181">
        <f>BZ5</f>
        <v>35629</v>
      </c>
      <c r="CA6" s="15" t="s">
        <v>421</v>
      </c>
      <c r="CB6" s="12">
        <v>18200</v>
      </c>
      <c r="CC6" s="173">
        <f>CB6/((BY6-BZ6)*24)</f>
        <v>25.27777777777778</v>
      </c>
      <c r="CD6" s="173" t="s">
        <v>613</v>
      </c>
      <c r="CE6" s="192">
        <f>BZ6</f>
        <v>35629</v>
      </c>
      <c r="CF6" s="181">
        <f>CF5</f>
        <v>35596</v>
      </c>
      <c r="CG6" s="15" t="s">
        <v>421</v>
      </c>
      <c r="CH6" s="12">
        <v>17500</v>
      </c>
      <c r="CI6" s="173">
        <f>CH6/((CE6-CF6)*24)</f>
        <v>22.095959595959595</v>
      </c>
      <c r="CJ6" s="173" t="s">
        <v>613</v>
      </c>
    </row>
  </sheetData>
  <printOptions/>
  <pageMargins left="0.75" right="0.75" top="1" bottom="1" header="0.5" footer="0.5"/>
  <pageSetup fitToHeight="3" horizontalDpi="600" verticalDpi="600" orientation="landscape" scale="45" r:id="rId2"/>
  <headerFooter alignWithMargins="0">
    <oddHeader>&amp;CEBT Test Conditions
&amp;A</oddHeader>
    <oddFooter>&amp;LVersion 5.0&amp;CPage &amp;P&amp;RIssued:  June 25, 1999
</oddFooter>
  </headerFooter>
  <drawing r:id="rId1"/>
</worksheet>
</file>

<file path=xl/worksheets/sheet11.xml><?xml version="1.0" encoding="utf-8"?>
<worksheet xmlns="http://schemas.openxmlformats.org/spreadsheetml/2006/main" xmlns:r="http://schemas.openxmlformats.org/officeDocument/2006/relationships">
  <dimension ref="A1:A4"/>
  <sheetViews>
    <sheetView workbookViewId="0" topLeftCell="A1">
      <selection activeCell="A1" sqref="A1"/>
      <selection activeCell="G11" sqref="G11"/>
    </sheetView>
  </sheetViews>
  <sheetFormatPr defaultColWidth="9.140625" defaultRowHeight="12.75"/>
  <sheetData>
    <row r="1" ht="15.75">
      <c r="A1" s="237" t="s">
        <v>615</v>
      </c>
    </row>
    <row r="4" ht="12.75">
      <c r="A4" t="s">
        <v>616</v>
      </c>
    </row>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D26"/>
  <sheetViews>
    <sheetView zoomScale="75" zoomScaleNormal="75" workbookViewId="0" topLeftCell="B1">
      <selection activeCell="H6" sqref="H6"/>
      <selection activeCell="B1" sqref="B1"/>
    </sheetView>
  </sheetViews>
  <sheetFormatPr defaultColWidth="9.140625" defaultRowHeight="12.75"/>
  <cols>
    <col min="1" max="1" width="14.421875" style="130" hidden="1" customWidth="1"/>
    <col min="2" max="3" width="11.00390625" style="130" customWidth="1"/>
    <col min="4" max="4" width="8.8515625" style="130" customWidth="1"/>
    <col min="5" max="6" width="4.57421875" style="130" customWidth="1"/>
    <col min="7" max="7" width="14.57421875" style="130" customWidth="1"/>
    <col min="8" max="8" width="14.8515625" style="130" customWidth="1"/>
    <col min="9" max="9" width="6.28125" style="130" customWidth="1"/>
    <col min="10" max="13" width="4.57421875" style="130" customWidth="1"/>
    <col min="14" max="14" width="8.140625" style="130" customWidth="1"/>
    <col min="15" max="15" width="4.57421875" style="130" customWidth="1"/>
    <col min="16" max="16" width="11.421875" style="130" customWidth="1"/>
    <col min="17" max="29" width="4.57421875" style="130" customWidth="1"/>
    <col min="30" max="30" width="5.28125" style="130" customWidth="1"/>
    <col min="31" max="16384" width="8.8515625" style="130" customWidth="1"/>
  </cols>
  <sheetData>
    <row r="1" ht="15.75">
      <c r="B1" s="219" t="s">
        <v>617</v>
      </c>
    </row>
    <row r="2" spans="1:30" s="210" customFormat="1" ht="12.75" hidden="1">
      <c r="A2" s="138" t="s">
        <v>618</v>
      </c>
      <c r="B2" s="210">
        <v>1</v>
      </c>
      <c r="C2" s="210">
        <v>2</v>
      </c>
      <c r="D2" s="210">
        <v>3</v>
      </c>
      <c r="E2" s="210">
        <v>4</v>
      </c>
      <c r="F2" s="210">
        <v>5</v>
      </c>
      <c r="G2" s="210">
        <v>6</v>
      </c>
      <c r="H2" s="210">
        <v>7</v>
      </c>
      <c r="I2" s="210">
        <v>8</v>
      </c>
      <c r="J2" s="210">
        <v>9</v>
      </c>
      <c r="K2" s="210">
        <v>10</v>
      </c>
      <c r="L2" s="210">
        <v>11</v>
      </c>
      <c r="M2" s="210">
        <v>12</v>
      </c>
      <c r="N2" s="210">
        <v>13</v>
      </c>
      <c r="O2" s="210">
        <v>14</v>
      </c>
      <c r="P2" s="210">
        <v>15</v>
      </c>
      <c r="Q2" s="210">
        <v>16</v>
      </c>
      <c r="R2" s="210">
        <v>17</v>
      </c>
      <c r="S2" s="210">
        <v>18</v>
      </c>
      <c r="T2" s="210">
        <v>19</v>
      </c>
      <c r="U2" s="210">
        <v>20</v>
      </c>
      <c r="V2" s="210">
        <v>21</v>
      </c>
      <c r="W2" s="210">
        <v>22</v>
      </c>
      <c r="X2" s="210">
        <v>23</v>
      </c>
      <c r="Y2" s="210">
        <v>24</v>
      </c>
      <c r="Z2" s="210">
        <v>25</v>
      </c>
      <c r="AA2" s="210">
        <v>26</v>
      </c>
      <c r="AB2" s="210">
        <v>27</v>
      </c>
      <c r="AC2" s="210">
        <v>28</v>
      </c>
      <c r="AD2" s="210">
        <v>29</v>
      </c>
    </row>
    <row r="3" spans="1:30" s="205" customFormat="1" ht="10.5" hidden="1">
      <c r="A3" s="209" t="s">
        <v>619</v>
      </c>
      <c r="B3" s="205">
        <v>7</v>
      </c>
      <c r="C3" s="205">
        <v>8</v>
      </c>
      <c r="D3" s="205">
        <v>9</v>
      </c>
      <c r="E3" s="205">
        <v>11</v>
      </c>
      <c r="F3" s="205">
        <v>10</v>
      </c>
      <c r="G3" s="205">
        <v>12</v>
      </c>
      <c r="H3" s="205">
        <v>13</v>
      </c>
      <c r="I3" s="205">
        <v>14</v>
      </c>
      <c r="J3" s="205">
        <v>15</v>
      </c>
      <c r="K3" s="205">
        <v>16</v>
      </c>
      <c r="L3" s="205">
        <v>17</v>
      </c>
      <c r="M3" s="205">
        <v>18</v>
      </c>
      <c r="N3" s="205">
        <v>19</v>
      </c>
      <c r="O3" s="205">
        <v>20</v>
      </c>
      <c r="P3" s="205">
        <v>21</v>
      </c>
      <c r="Q3" s="205">
        <v>22</v>
      </c>
      <c r="R3" s="205">
        <v>23</v>
      </c>
      <c r="S3" s="205">
        <v>24</v>
      </c>
      <c r="T3" s="205">
        <v>25</v>
      </c>
      <c r="U3" s="205">
        <v>26</v>
      </c>
      <c r="V3" s="205">
        <v>27</v>
      </c>
      <c r="W3" s="205">
        <v>28</v>
      </c>
      <c r="X3" s="205">
        <v>29</v>
      </c>
      <c r="Y3" s="205">
        <v>30</v>
      </c>
      <c r="Z3" s="205">
        <v>31</v>
      </c>
      <c r="AA3" s="205">
        <v>32</v>
      </c>
      <c r="AB3" s="205">
        <v>33</v>
      </c>
      <c r="AC3" s="205">
        <v>34</v>
      </c>
      <c r="AD3" s="205">
        <v>35</v>
      </c>
    </row>
    <row r="4" spans="1:30" ht="11.25">
      <c r="A4" s="130" t="s">
        <v>620</v>
      </c>
      <c r="B4" s="71" t="str">
        <f>VLOOKUP($A4,Format_1_Table,B$3,FALSE)</f>
        <v>LDCDUNS##</v>
      </c>
      <c r="C4" s="71" t="str">
        <f aca="true" t="shared" si="0" ref="C4:R4">VLOOKUP($A4,Format_1_Table,C3,FALSE)</f>
        <v>SUPDUNS##</v>
      </c>
      <c r="D4" s="179">
        <f t="shared" si="0"/>
        <v>35978</v>
      </c>
      <c r="E4" s="71" t="str">
        <f t="shared" si="0"/>
        <v> </v>
      </c>
      <c r="F4" s="71" t="str">
        <f t="shared" si="0"/>
        <v>E</v>
      </c>
      <c r="G4" s="71" t="str">
        <f t="shared" si="0"/>
        <v>S0000000000001</v>
      </c>
      <c r="H4" s="71" t="str">
        <f t="shared" si="0"/>
        <v>D0000000000001</v>
      </c>
      <c r="I4" s="71" t="str">
        <f t="shared" si="0"/>
        <v>JOHN</v>
      </c>
      <c r="J4" s="71">
        <f t="shared" si="0"/>
      </c>
      <c r="K4" s="71" t="str">
        <f t="shared" si="0"/>
        <v>C</v>
      </c>
      <c r="L4" s="71" t="str">
        <f t="shared" si="0"/>
        <v> </v>
      </c>
      <c r="M4" s="71" t="str">
        <f t="shared" si="0"/>
        <v>R01</v>
      </c>
      <c r="N4" s="71" t="str">
        <f t="shared" si="0"/>
        <v>R000001</v>
      </c>
      <c r="O4" s="71" t="str">
        <f t="shared" si="0"/>
        <v>A</v>
      </c>
      <c r="P4" s="71">
        <f t="shared" si="0"/>
      </c>
      <c r="Q4" s="71" t="str">
        <f t="shared" si="0"/>
        <v> </v>
      </c>
      <c r="R4" s="71" t="str">
        <f t="shared" si="0"/>
        <v> </v>
      </c>
      <c r="S4" s="71">
        <f>VLOOKUP($A4,Format_1_Table,S3,FALSE)</f>
      </c>
      <c r="T4" s="71" t="str">
        <f>VLOOKUP($A4,Format_1_Table,T3,FALSE)</f>
        <v>N</v>
      </c>
      <c r="U4" s="71" t="str">
        <f aca="true" t="shared" si="1" ref="U4:AD4">VLOOKUP($A4,Format_1_Table,U$3,FALSE)</f>
        <v> </v>
      </c>
      <c r="V4" s="71" t="str">
        <f t="shared" si="1"/>
        <v> </v>
      </c>
      <c r="W4" s="71" t="str">
        <f t="shared" si="1"/>
        <v> </v>
      </c>
      <c r="X4" s="71" t="str">
        <f t="shared" si="1"/>
        <v> </v>
      </c>
      <c r="Y4" s="71" t="str">
        <f t="shared" si="1"/>
        <v> </v>
      </c>
      <c r="Z4" s="71" t="str">
        <f t="shared" si="1"/>
        <v> </v>
      </c>
      <c r="AA4" s="71" t="str">
        <f t="shared" si="1"/>
        <v> </v>
      </c>
      <c r="AB4" s="71" t="str">
        <f t="shared" si="1"/>
        <v> </v>
      </c>
      <c r="AC4" s="71" t="str">
        <f t="shared" si="1"/>
        <v> </v>
      </c>
      <c r="AD4" s="71" t="str">
        <f t="shared" si="1"/>
        <v>PUBL</v>
      </c>
    </row>
    <row r="5" spans="1:30" ht="11.25">
      <c r="A5" s="130" t="s">
        <v>621</v>
      </c>
      <c r="B5" s="71" t="str">
        <f aca="true" t="shared" si="2" ref="B5:Q12">VLOOKUP($A5,Format_1_Table,B$3,FALSE)</f>
        <v>LDCDUNS##</v>
      </c>
      <c r="C5" s="71" t="str">
        <f t="shared" si="2"/>
        <v>SUPDUNS##</v>
      </c>
      <c r="D5" s="179">
        <f t="shared" si="2"/>
        <v>35978</v>
      </c>
      <c r="E5" s="71" t="str">
        <f t="shared" si="2"/>
        <v> </v>
      </c>
      <c r="F5" s="71" t="str">
        <f t="shared" si="2"/>
        <v>E</v>
      </c>
      <c r="G5" s="71" t="str">
        <f t="shared" si="2"/>
        <v>S0000000000002</v>
      </c>
      <c r="H5" s="71" t="str">
        <f t="shared" si="2"/>
        <v>D0000000000002</v>
      </c>
      <c r="I5" s="71" t="str">
        <f t="shared" si="2"/>
        <v>SMIT</v>
      </c>
      <c r="J5" s="71">
        <f t="shared" si="2"/>
      </c>
      <c r="K5" s="71" t="str">
        <f t="shared" si="2"/>
        <v>P</v>
      </c>
      <c r="L5" s="71" t="str">
        <f t="shared" si="2"/>
        <v> </v>
      </c>
      <c r="M5" s="71" t="str">
        <f t="shared" si="2"/>
        <v> </v>
      </c>
      <c r="N5" s="71" t="str">
        <f t="shared" si="2"/>
        <v> </v>
      </c>
      <c r="O5" s="71" t="str">
        <f t="shared" si="2"/>
        <v>A</v>
      </c>
      <c r="P5" s="71">
        <f t="shared" si="2"/>
      </c>
      <c r="Q5" s="71" t="str">
        <f t="shared" si="2"/>
        <v> </v>
      </c>
      <c r="R5" s="71" t="str">
        <f aca="true" t="shared" si="3" ref="R5:AD20">VLOOKUP($A5,Format_1_Table,R$3,FALSE)</f>
        <v> </v>
      </c>
      <c r="S5" s="71">
        <f t="shared" si="3"/>
      </c>
      <c r="T5" s="71">
        <f t="shared" si="3"/>
      </c>
      <c r="U5" s="71" t="str">
        <f t="shared" si="3"/>
        <v> </v>
      </c>
      <c r="V5" s="71" t="str">
        <f t="shared" si="3"/>
        <v> </v>
      </c>
      <c r="W5" s="71" t="str">
        <f t="shared" si="3"/>
        <v> </v>
      </c>
      <c r="X5" s="71" t="str">
        <f t="shared" si="3"/>
        <v> </v>
      </c>
      <c r="Y5" s="71" t="str">
        <f t="shared" si="3"/>
        <v> </v>
      </c>
      <c r="Z5" s="71" t="str">
        <f t="shared" si="3"/>
        <v> </v>
      </c>
      <c r="AA5" s="71" t="str">
        <f t="shared" si="3"/>
        <v> </v>
      </c>
      <c r="AB5" s="71" t="str">
        <f t="shared" si="3"/>
        <v> </v>
      </c>
      <c r="AC5" s="71" t="str">
        <f t="shared" si="3"/>
        <v> </v>
      </c>
      <c r="AD5" s="71" t="str">
        <f t="shared" si="3"/>
        <v> </v>
      </c>
    </row>
    <row r="6" spans="1:30" ht="11.25">
      <c r="A6" s="130" t="s">
        <v>622</v>
      </c>
      <c r="B6" s="71" t="str">
        <f t="shared" si="2"/>
        <v>LDCDUNS##</v>
      </c>
      <c r="C6" s="71" t="str">
        <f t="shared" si="2"/>
        <v>SUPDUNS##</v>
      </c>
      <c r="D6" s="179">
        <f t="shared" si="2"/>
        <v>35978</v>
      </c>
      <c r="E6" s="71" t="str">
        <f t="shared" si="2"/>
        <v> </v>
      </c>
      <c r="F6" s="71" t="str">
        <f t="shared" si="2"/>
        <v>E</v>
      </c>
      <c r="G6" s="71" t="str">
        <f t="shared" si="2"/>
        <v>S0000000000003</v>
      </c>
      <c r="H6" s="71" t="str">
        <f t="shared" si="2"/>
        <v>D9999999999999</v>
      </c>
      <c r="I6" s="71" t="str">
        <f t="shared" si="2"/>
        <v>BILL</v>
      </c>
      <c r="J6" s="71">
        <f t="shared" si="2"/>
      </c>
      <c r="K6" s="71" t="str">
        <f t="shared" si="2"/>
        <v>P</v>
      </c>
      <c r="L6" s="71" t="str">
        <f t="shared" si="2"/>
        <v> </v>
      </c>
      <c r="M6" s="71" t="str">
        <f t="shared" si="2"/>
        <v> </v>
      </c>
      <c r="N6" s="71" t="str">
        <f t="shared" si="2"/>
        <v> </v>
      </c>
      <c r="O6" s="71" t="str">
        <f t="shared" si="2"/>
        <v>A</v>
      </c>
      <c r="P6" s="71">
        <f t="shared" si="2"/>
      </c>
      <c r="Q6" s="71" t="str">
        <f t="shared" si="2"/>
        <v> </v>
      </c>
      <c r="R6" s="71" t="str">
        <f t="shared" si="3"/>
        <v> </v>
      </c>
      <c r="S6" s="71">
        <f t="shared" si="3"/>
      </c>
      <c r="T6" s="71">
        <f t="shared" si="3"/>
      </c>
      <c r="U6" s="71" t="str">
        <f t="shared" si="3"/>
        <v> </v>
      </c>
      <c r="V6" s="71" t="str">
        <f t="shared" si="3"/>
        <v> </v>
      </c>
      <c r="W6" s="71" t="str">
        <f t="shared" si="3"/>
        <v> </v>
      </c>
      <c r="X6" s="71" t="str">
        <f t="shared" si="3"/>
        <v> </v>
      </c>
      <c r="Y6" s="71" t="str">
        <f t="shared" si="3"/>
        <v> </v>
      </c>
      <c r="Z6" s="71" t="str">
        <f t="shared" si="3"/>
        <v> </v>
      </c>
      <c r="AA6" s="71" t="str">
        <f t="shared" si="3"/>
        <v> </v>
      </c>
      <c r="AB6" s="71" t="str">
        <f t="shared" si="3"/>
        <v> </v>
      </c>
      <c r="AC6" s="71" t="str">
        <f t="shared" si="3"/>
        <v> </v>
      </c>
      <c r="AD6" s="71" t="str">
        <f t="shared" si="3"/>
        <v> </v>
      </c>
    </row>
    <row r="7" spans="1:30" ht="11.25">
      <c r="A7" s="130" t="s">
        <v>623</v>
      </c>
      <c r="B7" s="71" t="str">
        <f t="shared" si="2"/>
        <v>LDCDUNS##</v>
      </c>
      <c r="C7" s="71" t="str">
        <f t="shared" si="2"/>
        <v>SUPDUNS##</v>
      </c>
      <c r="D7" s="179">
        <f t="shared" si="2"/>
        <v>35978</v>
      </c>
      <c r="E7" s="71" t="str">
        <f t="shared" si="2"/>
        <v> </v>
      </c>
      <c r="F7" s="71" t="str">
        <f t="shared" si="2"/>
        <v>E</v>
      </c>
      <c r="G7" s="71" t="str">
        <f t="shared" si="2"/>
        <v>S0000000000004</v>
      </c>
      <c r="H7" s="71" t="str">
        <f t="shared" si="2"/>
        <v>D0000000000003</v>
      </c>
      <c r="I7" s="71" t="str">
        <f t="shared" si="2"/>
        <v>ADAM</v>
      </c>
      <c r="J7" s="71">
        <f t="shared" si="2"/>
      </c>
      <c r="K7" s="71" t="str">
        <f t="shared" si="2"/>
        <v>C</v>
      </c>
      <c r="L7" s="71" t="str">
        <f t="shared" si="2"/>
        <v> </v>
      </c>
      <c r="M7" s="71" t="str">
        <f t="shared" si="2"/>
        <v>R01</v>
      </c>
      <c r="N7" s="71" t="str">
        <f t="shared" si="2"/>
        <v>R000001</v>
      </c>
      <c r="O7" s="71" t="str">
        <f t="shared" si="2"/>
        <v>A</v>
      </c>
      <c r="P7" s="71">
        <f t="shared" si="2"/>
      </c>
      <c r="Q7" s="71" t="str">
        <f t="shared" si="2"/>
        <v> </v>
      </c>
      <c r="R7" s="71" t="str">
        <f t="shared" si="3"/>
        <v> </v>
      </c>
      <c r="S7" s="71">
        <f t="shared" si="3"/>
      </c>
      <c r="T7" s="71" t="str">
        <f t="shared" si="3"/>
        <v>N</v>
      </c>
      <c r="U7" s="71" t="str">
        <f t="shared" si="3"/>
        <v> </v>
      </c>
      <c r="V7" s="71" t="str">
        <f t="shared" si="3"/>
        <v> </v>
      </c>
      <c r="W7" s="71" t="str">
        <f t="shared" si="3"/>
        <v> </v>
      </c>
      <c r="X7" s="71" t="str">
        <f t="shared" si="3"/>
        <v> </v>
      </c>
      <c r="Y7" s="71" t="str">
        <f t="shared" si="3"/>
        <v> </v>
      </c>
      <c r="Z7" s="71" t="str">
        <f t="shared" si="3"/>
        <v> </v>
      </c>
      <c r="AA7" s="71" t="str">
        <f t="shared" si="3"/>
        <v> </v>
      </c>
      <c r="AB7" s="71" t="str">
        <f t="shared" si="3"/>
        <v> </v>
      </c>
      <c r="AC7" s="71" t="str">
        <f t="shared" si="3"/>
        <v> </v>
      </c>
      <c r="AD7" s="71" t="str">
        <f t="shared" si="3"/>
        <v> </v>
      </c>
    </row>
    <row r="8" spans="1:30" ht="11.25">
      <c r="A8" s="130" t="s">
        <v>624</v>
      </c>
      <c r="B8" s="71" t="str">
        <f t="shared" si="2"/>
        <v>LDCDUNS##</v>
      </c>
      <c r="C8" s="71" t="str">
        <f t="shared" si="2"/>
        <v>SUPDUNS##</v>
      </c>
      <c r="D8" s="179">
        <f t="shared" si="2"/>
        <v>35978</v>
      </c>
      <c r="E8" s="71" t="str">
        <f t="shared" si="2"/>
        <v> </v>
      </c>
      <c r="F8" s="71" t="str">
        <f t="shared" si="2"/>
        <v>E</v>
      </c>
      <c r="G8" s="71" t="str">
        <f t="shared" si="2"/>
        <v>S0000000000005</v>
      </c>
      <c r="H8" s="71" t="str">
        <f t="shared" si="2"/>
        <v>D0000000000004</v>
      </c>
      <c r="I8" s="71" t="str">
        <f t="shared" si="2"/>
        <v>WILL</v>
      </c>
      <c r="J8" s="71">
        <f t="shared" si="2"/>
      </c>
      <c r="K8" s="71" t="str">
        <f t="shared" si="2"/>
        <v>C</v>
      </c>
      <c r="L8" s="71" t="str">
        <f t="shared" si="2"/>
        <v> </v>
      </c>
      <c r="M8" s="71" t="str">
        <f t="shared" si="2"/>
        <v>G00</v>
      </c>
      <c r="N8" s="71" t="str">
        <f t="shared" si="2"/>
        <v>G000001</v>
      </c>
      <c r="O8" s="71" t="str">
        <f t="shared" si="2"/>
        <v>D</v>
      </c>
      <c r="P8" s="71" t="str">
        <f t="shared" si="2"/>
        <v>M000000005</v>
      </c>
      <c r="Q8" s="71" t="str">
        <f t="shared" si="2"/>
        <v> </v>
      </c>
      <c r="R8" s="71" t="str">
        <f t="shared" si="3"/>
        <v> </v>
      </c>
      <c r="S8" s="71">
        <f t="shared" si="3"/>
      </c>
      <c r="T8" s="71" t="str">
        <f t="shared" si="3"/>
        <v>Y</v>
      </c>
      <c r="U8" s="71" t="str">
        <f t="shared" si="3"/>
        <v> </v>
      </c>
      <c r="V8" s="71" t="str">
        <f t="shared" si="3"/>
        <v> </v>
      </c>
      <c r="W8" s="71" t="str">
        <f t="shared" si="3"/>
        <v> </v>
      </c>
      <c r="X8" s="71" t="str">
        <f t="shared" si="3"/>
        <v> </v>
      </c>
      <c r="Y8" s="71" t="str">
        <f t="shared" si="3"/>
        <v> </v>
      </c>
      <c r="Z8" s="71" t="str">
        <f t="shared" si="3"/>
        <v> </v>
      </c>
      <c r="AA8" s="71" t="str">
        <f t="shared" si="3"/>
        <v> </v>
      </c>
      <c r="AB8" s="71" t="str">
        <f t="shared" si="3"/>
        <v> </v>
      </c>
      <c r="AC8" s="71" t="str">
        <f t="shared" si="3"/>
        <v> </v>
      </c>
      <c r="AD8" s="71" t="str">
        <f t="shared" si="3"/>
        <v> </v>
      </c>
    </row>
    <row r="9" spans="1:30" ht="11.25">
      <c r="A9" s="130" t="s">
        <v>625</v>
      </c>
      <c r="B9" s="71" t="str">
        <f t="shared" si="2"/>
        <v>LDCDUNS##</v>
      </c>
      <c r="C9" s="71" t="str">
        <f t="shared" si="2"/>
        <v>SUPDUNS##</v>
      </c>
      <c r="D9" s="179">
        <f t="shared" si="2"/>
        <v>35978</v>
      </c>
      <c r="E9" s="71" t="str">
        <f t="shared" si="2"/>
        <v> </v>
      </c>
      <c r="F9" s="71" t="str">
        <f t="shared" si="2"/>
        <v>E</v>
      </c>
      <c r="G9" s="71" t="str">
        <f t="shared" si="2"/>
        <v>S0000000000005</v>
      </c>
      <c r="H9" s="71" t="str">
        <f t="shared" si="2"/>
        <v>D0000000000004</v>
      </c>
      <c r="I9" s="71" t="str">
        <f t="shared" si="2"/>
        <v>WILL</v>
      </c>
      <c r="J9" s="71">
        <f t="shared" si="2"/>
      </c>
      <c r="K9" s="71" t="str">
        <f>VLOOKUP($A8,Format_1_Table,K$3,FALSE)</f>
        <v>C</v>
      </c>
      <c r="L9" s="71" t="str">
        <f t="shared" si="2"/>
        <v> </v>
      </c>
      <c r="M9" s="71" t="str">
        <f t="shared" si="2"/>
        <v>R02</v>
      </c>
      <c r="N9" s="71" t="str">
        <f t="shared" si="2"/>
        <v>R000002</v>
      </c>
      <c r="O9" s="71" t="str">
        <f t="shared" si="2"/>
        <v>D</v>
      </c>
      <c r="P9" s="71" t="str">
        <f t="shared" si="2"/>
        <v>M000000006</v>
      </c>
      <c r="Q9" s="71" t="str">
        <f t="shared" si="2"/>
        <v> </v>
      </c>
      <c r="R9" s="71" t="str">
        <f t="shared" si="3"/>
        <v> </v>
      </c>
      <c r="S9" s="71">
        <f t="shared" si="3"/>
      </c>
      <c r="T9" s="71" t="str">
        <f t="shared" si="3"/>
        <v>Y</v>
      </c>
      <c r="U9" s="71" t="str">
        <f t="shared" si="3"/>
        <v> </v>
      </c>
      <c r="V9" s="71" t="str">
        <f t="shared" si="3"/>
        <v> </v>
      </c>
      <c r="W9" s="71" t="str">
        <f t="shared" si="3"/>
        <v> </v>
      </c>
      <c r="X9" s="71" t="str">
        <f t="shared" si="3"/>
        <v> </v>
      </c>
      <c r="Y9" s="71" t="str">
        <f t="shared" si="3"/>
        <v> </v>
      </c>
      <c r="Z9" s="71" t="str">
        <f t="shared" si="3"/>
        <v> </v>
      </c>
      <c r="AA9" s="71" t="str">
        <f t="shared" si="3"/>
        <v> </v>
      </c>
      <c r="AB9" s="71" t="str">
        <f t="shared" si="3"/>
        <v> </v>
      </c>
      <c r="AC9" s="71" t="str">
        <f t="shared" si="3"/>
        <v> </v>
      </c>
      <c r="AD9" s="71" t="str">
        <f t="shared" si="3"/>
        <v> </v>
      </c>
    </row>
    <row r="10" spans="1:30" ht="11.25">
      <c r="A10" s="130" t="s">
        <v>626</v>
      </c>
      <c r="B10" s="71" t="str">
        <f t="shared" si="2"/>
        <v>LDCDUNS##</v>
      </c>
      <c r="C10" s="71" t="str">
        <f t="shared" si="2"/>
        <v>SUPDUNS##</v>
      </c>
      <c r="D10" s="179">
        <f t="shared" si="2"/>
        <v>35978</v>
      </c>
      <c r="E10" s="71" t="str">
        <f t="shared" si="2"/>
        <v> </v>
      </c>
      <c r="F10" s="71" t="str">
        <f t="shared" si="2"/>
        <v>E</v>
      </c>
      <c r="G10" s="71" t="str">
        <f t="shared" si="2"/>
        <v>S0000000000006</v>
      </c>
      <c r="H10" s="71" t="str">
        <f t="shared" si="2"/>
        <v>D0000000000005</v>
      </c>
      <c r="I10" s="71" t="str">
        <f t="shared" si="2"/>
        <v>ENDI</v>
      </c>
      <c r="J10" s="71">
        <f t="shared" si="2"/>
      </c>
      <c r="K10" s="71" t="str">
        <f t="shared" si="2"/>
        <v>C</v>
      </c>
      <c r="L10" s="71" t="str">
        <f t="shared" si="2"/>
        <v> </v>
      </c>
      <c r="M10" s="71" t="str">
        <f t="shared" si="2"/>
        <v>G00</v>
      </c>
      <c r="N10" s="71" t="str">
        <f t="shared" si="2"/>
        <v>G000001</v>
      </c>
      <c r="O10" s="71" t="str">
        <f t="shared" si="2"/>
        <v>D</v>
      </c>
      <c r="P10" s="71" t="str">
        <f t="shared" si="2"/>
        <v>M000000007</v>
      </c>
      <c r="Q10" s="71" t="str">
        <f t="shared" si="2"/>
        <v> </v>
      </c>
      <c r="R10" s="71" t="str">
        <f t="shared" si="3"/>
        <v> </v>
      </c>
      <c r="S10" s="71">
        <f t="shared" si="3"/>
      </c>
      <c r="T10" s="71" t="str">
        <f t="shared" si="3"/>
        <v>Y</v>
      </c>
      <c r="U10" s="71" t="str">
        <f t="shared" si="3"/>
        <v> </v>
      </c>
      <c r="V10" s="71" t="str">
        <f t="shared" si="3"/>
        <v> </v>
      </c>
      <c r="W10" s="71" t="str">
        <f t="shared" si="3"/>
        <v> </v>
      </c>
      <c r="X10" s="71" t="str">
        <f t="shared" si="3"/>
        <v> </v>
      </c>
      <c r="Y10" s="71" t="str">
        <f t="shared" si="3"/>
        <v> </v>
      </c>
      <c r="Z10" s="71" t="str">
        <f t="shared" si="3"/>
        <v> </v>
      </c>
      <c r="AA10" s="71" t="str">
        <f t="shared" si="3"/>
        <v> </v>
      </c>
      <c r="AB10" s="71" t="str">
        <f t="shared" si="3"/>
        <v> </v>
      </c>
      <c r="AC10" s="71" t="str">
        <f t="shared" si="3"/>
        <v> </v>
      </c>
      <c r="AD10" s="71" t="str">
        <f t="shared" si="3"/>
        <v> </v>
      </c>
    </row>
    <row r="11" spans="1:30" ht="11.25">
      <c r="A11" s="130" t="s">
        <v>627</v>
      </c>
      <c r="B11" s="71" t="str">
        <f t="shared" si="2"/>
        <v>LDCDUNS##</v>
      </c>
      <c r="C11" s="71" t="str">
        <f t="shared" si="2"/>
        <v>SUPDUNS##</v>
      </c>
      <c r="D11" s="179">
        <f t="shared" si="2"/>
        <v>35978</v>
      </c>
      <c r="E11" s="71" t="str">
        <f t="shared" si="2"/>
        <v> </v>
      </c>
      <c r="F11" s="71" t="str">
        <f t="shared" si="2"/>
        <v>E</v>
      </c>
      <c r="G11" s="71" t="str">
        <f t="shared" si="2"/>
        <v>S0000000000006</v>
      </c>
      <c r="H11" s="71" t="str">
        <f t="shared" si="2"/>
        <v>D0000000000005</v>
      </c>
      <c r="I11" s="71" t="str">
        <f t="shared" si="2"/>
        <v>ENDI</v>
      </c>
      <c r="J11" s="71">
        <f t="shared" si="2"/>
      </c>
      <c r="K11" s="71" t="str">
        <f t="shared" si="2"/>
        <v>C</v>
      </c>
      <c r="L11" s="71" t="str">
        <f t="shared" si="2"/>
        <v> </v>
      </c>
      <c r="M11" s="71" t="str">
        <f t="shared" si="2"/>
        <v>R02</v>
      </c>
      <c r="N11" s="71" t="str">
        <f t="shared" si="2"/>
        <v>R000002</v>
      </c>
      <c r="O11" s="71" t="str">
        <f t="shared" si="2"/>
        <v>E</v>
      </c>
      <c r="P11" s="71" t="str">
        <f t="shared" si="2"/>
        <v>M999999999</v>
      </c>
      <c r="Q11" s="71" t="str">
        <f t="shared" si="2"/>
        <v> </v>
      </c>
      <c r="R11" s="71" t="str">
        <f t="shared" si="3"/>
        <v> </v>
      </c>
      <c r="S11" s="71">
        <f t="shared" si="3"/>
      </c>
      <c r="T11" s="71" t="str">
        <f t="shared" si="3"/>
        <v>Y</v>
      </c>
      <c r="U11" s="71" t="str">
        <f t="shared" si="3"/>
        <v> </v>
      </c>
      <c r="V11" s="71" t="str">
        <f t="shared" si="3"/>
        <v> </v>
      </c>
      <c r="W11" s="71" t="str">
        <f t="shared" si="3"/>
        <v> </v>
      </c>
      <c r="X11" s="71" t="str">
        <f t="shared" si="3"/>
        <v> </v>
      </c>
      <c r="Y11" s="71" t="str">
        <f t="shared" si="3"/>
        <v> </v>
      </c>
      <c r="Z11" s="71" t="str">
        <f t="shared" si="3"/>
        <v> </v>
      </c>
      <c r="AA11" s="71" t="str">
        <f t="shared" si="3"/>
        <v> </v>
      </c>
      <c r="AB11" s="71" t="str">
        <f t="shared" si="3"/>
        <v> </v>
      </c>
      <c r="AC11" s="71" t="str">
        <f t="shared" si="3"/>
        <v> </v>
      </c>
      <c r="AD11" s="71" t="str">
        <f t="shared" si="3"/>
        <v> </v>
      </c>
    </row>
    <row r="12" spans="1:30" ht="11.25">
      <c r="A12" s="130" t="s">
        <v>628</v>
      </c>
      <c r="B12" s="71" t="str">
        <f t="shared" si="2"/>
        <v>LDCDUNS##</v>
      </c>
      <c r="C12" s="71" t="str">
        <f t="shared" si="2"/>
        <v>SUPDUNS##</v>
      </c>
      <c r="D12" s="179">
        <f t="shared" si="2"/>
        <v>35978</v>
      </c>
      <c r="E12" s="71" t="str">
        <f t="shared" si="2"/>
        <v> </v>
      </c>
      <c r="F12" s="71" t="str">
        <f t="shared" si="2"/>
        <v>E</v>
      </c>
      <c r="G12" s="71" t="str">
        <f t="shared" si="2"/>
        <v>S0000000000007</v>
      </c>
      <c r="H12" s="71" t="str">
        <f t="shared" si="2"/>
        <v>D0000000000006</v>
      </c>
      <c r="I12" s="71" t="str">
        <f t="shared" si="2"/>
        <v>ZURC</v>
      </c>
      <c r="J12" s="71">
        <f t="shared" si="2"/>
      </c>
      <c r="K12" s="71" t="str">
        <f t="shared" si="2"/>
        <v>P</v>
      </c>
      <c r="L12" s="71" t="str">
        <f t="shared" si="2"/>
        <v> </v>
      </c>
      <c r="M12" s="71" t="str">
        <f t="shared" si="2"/>
        <v> </v>
      </c>
      <c r="N12" s="71" t="str">
        <f t="shared" si="2"/>
        <v> </v>
      </c>
      <c r="O12" s="71" t="str">
        <f t="shared" si="2"/>
        <v>A</v>
      </c>
      <c r="P12" s="71">
        <f t="shared" si="2"/>
      </c>
      <c r="Q12" s="71" t="str">
        <f t="shared" si="2"/>
        <v> </v>
      </c>
      <c r="R12" s="71" t="str">
        <f t="shared" si="3"/>
        <v> </v>
      </c>
      <c r="S12" s="71">
        <f t="shared" si="3"/>
      </c>
      <c r="T12" s="71">
        <f t="shared" si="3"/>
      </c>
      <c r="U12" s="71" t="str">
        <f t="shared" si="3"/>
        <v> </v>
      </c>
      <c r="V12" s="71" t="str">
        <f t="shared" si="3"/>
        <v> </v>
      </c>
      <c r="W12" s="71" t="str">
        <f t="shared" si="3"/>
        <v> </v>
      </c>
      <c r="X12" s="71" t="str">
        <f t="shared" si="3"/>
        <v> </v>
      </c>
      <c r="Y12" s="71" t="str">
        <f t="shared" si="3"/>
        <v> </v>
      </c>
      <c r="Z12" s="71" t="str">
        <f t="shared" si="3"/>
        <v> </v>
      </c>
      <c r="AA12" s="71" t="str">
        <f t="shared" si="3"/>
        <v> </v>
      </c>
      <c r="AB12" s="71" t="str">
        <f t="shared" si="3"/>
        <v> </v>
      </c>
      <c r="AC12" s="71" t="str">
        <f t="shared" si="3"/>
        <v> </v>
      </c>
      <c r="AD12" s="71" t="str">
        <f t="shared" si="3"/>
        <v> </v>
      </c>
    </row>
    <row r="13" spans="1:30" ht="11.25">
      <c r="A13" s="130" t="s">
        <v>629</v>
      </c>
      <c r="B13" s="71" t="str">
        <f aca="true" t="shared" si="4" ref="B13:K18">VLOOKUP($A13,Format_1_Table,B$3,FALSE)</f>
        <v>LDCDUNS##</v>
      </c>
      <c r="C13" s="71" t="str">
        <f t="shared" si="4"/>
        <v>SUPDUNS##</v>
      </c>
      <c r="D13" s="179">
        <f t="shared" si="4"/>
        <v>35978</v>
      </c>
      <c r="E13" s="71" t="str">
        <f t="shared" si="4"/>
        <v> </v>
      </c>
      <c r="F13" s="71" t="str">
        <f t="shared" si="4"/>
        <v>E</v>
      </c>
      <c r="G13" s="71" t="str">
        <f t="shared" si="4"/>
        <v>S0000000000008</v>
      </c>
      <c r="H13" s="71" t="str">
        <f t="shared" si="4"/>
        <v>D0000000000008</v>
      </c>
      <c r="I13" s="71" t="str">
        <f t="shared" si="4"/>
        <v>SAND</v>
      </c>
      <c r="J13" s="71" t="str">
        <f t="shared" si="4"/>
        <v> </v>
      </c>
      <c r="K13" s="71" t="str">
        <f t="shared" si="4"/>
        <v>P</v>
      </c>
      <c r="L13" s="71" t="str">
        <f aca="true" t="shared" si="5" ref="L13:T18">VLOOKUP($A13,Format_1_Table,L$3,FALSE)</f>
        <v> </v>
      </c>
      <c r="M13" s="71" t="str">
        <f t="shared" si="5"/>
        <v> </v>
      </c>
      <c r="N13" s="71" t="str">
        <f t="shared" si="5"/>
        <v> </v>
      </c>
      <c r="O13" s="71" t="str">
        <f t="shared" si="5"/>
        <v>A</v>
      </c>
      <c r="P13" s="71" t="str">
        <f t="shared" si="5"/>
        <v> </v>
      </c>
      <c r="Q13" s="71" t="str">
        <f t="shared" si="5"/>
        <v> </v>
      </c>
      <c r="R13" s="71" t="str">
        <f t="shared" si="5"/>
        <v> </v>
      </c>
      <c r="S13" s="71" t="str">
        <f t="shared" si="5"/>
        <v> </v>
      </c>
      <c r="T13" s="71">
        <f t="shared" si="5"/>
      </c>
      <c r="U13" s="71" t="str">
        <f t="shared" si="3"/>
        <v> </v>
      </c>
      <c r="V13" s="71" t="str">
        <f t="shared" si="3"/>
        <v> </v>
      </c>
      <c r="W13" s="71" t="str">
        <f t="shared" si="3"/>
        <v> </v>
      </c>
      <c r="X13" s="71" t="str">
        <f t="shared" si="3"/>
        <v> </v>
      </c>
      <c r="Y13" s="71" t="str">
        <f t="shared" si="3"/>
        <v> </v>
      </c>
      <c r="Z13" s="71" t="str">
        <f t="shared" si="3"/>
        <v> </v>
      </c>
      <c r="AA13" s="71" t="str">
        <f t="shared" si="3"/>
        <v> </v>
      </c>
      <c r="AB13" s="71" t="str">
        <f t="shared" si="3"/>
        <v> </v>
      </c>
      <c r="AC13" s="71" t="str">
        <f t="shared" si="3"/>
        <v> </v>
      </c>
      <c r="AD13" s="71" t="str">
        <f aca="true" t="shared" si="6" ref="AD13:AD18">VLOOKUP($A13,Format_1_Table,AD$3,FALSE)</f>
        <v> </v>
      </c>
    </row>
    <row r="14" spans="1:30" ht="11.25">
      <c r="A14" s="130" t="s">
        <v>630</v>
      </c>
      <c r="B14" s="71" t="str">
        <f t="shared" si="4"/>
        <v>LDCDUNS##</v>
      </c>
      <c r="C14" s="71" t="str">
        <f t="shared" si="4"/>
        <v>SUPDUNS##</v>
      </c>
      <c r="D14" s="179">
        <f t="shared" si="4"/>
        <v>35978</v>
      </c>
      <c r="E14" s="71" t="str">
        <f t="shared" si="4"/>
        <v> </v>
      </c>
      <c r="F14" s="71" t="str">
        <f t="shared" si="4"/>
        <v>E</v>
      </c>
      <c r="G14" s="71" t="str">
        <f t="shared" si="4"/>
        <v>S0000000000009</v>
      </c>
      <c r="H14" s="71" t="str">
        <f t="shared" si="4"/>
        <v>D0000000000009</v>
      </c>
      <c r="I14" s="71" t="str">
        <f t="shared" si="4"/>
        <v>CURM</v>
      </c>
      <c r="J14" s="71" t="str">
        <f t="shared" si="4"/>
        <v> </v>
      </c>
      <c r="K14" s="71" t="str">
        <f t="shared" si="4"/>
        <v>P</v>
      </c>
      <c r="L14" s="71" t="str">
        <f t="shared" si="5"/>
        <v> </v>
      </c>
      <c r="M14" s="71" t="str">
        <f t="shared" si="5"/>
        <v> </v>
      </c>
      <c r="N14" s="71" t="str">
        <f t="shared" si="5"/>
        <v> </v>
      </c>
      <c r="O14" s="71" t="str">
        <f t="shared" si="5"/>
        <v>A</v>
      </c>
      <c r="P14" s="71" t="str">
        <f t="shared" si="5"/>
        <v> </v>
      </c>
      <c r="Q14" s="71" t="str">
        <f t="shared" si="5"/>
        <v> </v>
      </c>
      <c r="R14" s="71" t="str">
        <f t="shared" si="5"/>
        <v> </v>
      </c>
      <c r="S14" s="71" t="str">
        <f t="shared" si="5"/>
        <v> </v>
      </c>
      <c r="T14" s="71">
        <f t="shared" si="5"/>
      </c>
      <c r="U14" s="71" t="str">
        <f t="shared" si="3"/>
        <v> </v>
      </c>
      <c r="V14" s="71" t="str">
        <f t="shared" si="3"/>
        <v> </v>
      </c>
      <c r="W14" s="71" t="str">
        <f t="shared" si="3"/>
        <v> </v>
      </c>
      <c r="X14" s="71" t="str">
        <f t="shared" si="3"/>
        <v> </v>
      </c>
      <c r="Y14" s="71" t="str">
        <f t="shared" si="3"/>
        <v> </v>
      </c>
      <c r="Z14" s="71" t="str">
        <f t="shared" si="3"/>
        <v> </v>
      </c>
      <c r="AA14" s="71" t="str">
        <f t="shared" si="3"/>
        <v> </v>
      </c>
      <c r="AB14" s="71" t="str">
        <f t="shared" si="3"/>
        <v> </v>
      </c>
      <c r="AC14" s="71" t="str">
        <f t="shared" si="3"/>
        <v> </v>
      </c>
      <c r="AD14" s="71" t="str">
        <f t="shared" si="6"/>
        <v> </v>
      </c>
    </row>
    <row r="15" spans="1:30" ht="11.25">
      <c r="A15" s="130" t="s">
        <v>631</v>
      </c>
      <c r="B15" s="71" t="str">
        <f t="shared" si="4"/>
        <v>LDCDUNS##</v>
      </c>
      <c r="C15" s="71" t="str">
        <f t="shared" si="4"/>
        <v>SUPDUNS##</v>
      </c>
      <c r="D15" s="179">
        <f t="shared" si="4"/>
        <v>35978</v>
      </c>
      <c r="E15" s="71" t="str">
        <f t="shared" si="4"/>
        <v> </v>
      </c>
      <c r="F15" s="71" t="str">
        <f t="shared" si="4"/>
        <v>E</v>
      </c>
      <c r="G15" s="71" t="str">
        <f t="shared" si="4"/>
        <v>S0000000000010</v>
      </c>
      <c r="H15" s="71" t="str">
        <f t="shared" si="4"/>
        <v>D0000000000010</v>
      </c>
      <c r="I15" s="71" t="str">
        <f t="shared" si="4"/>
        <v>OGIL</v>
      </c>
      <c r="J15" s="71" t="str">
        <f t="shared" si="4"/>
        <v> </v>
      </c>
      <c r="K15" s="71" t="str">
        <f t="shared" si="4"/>
        <v>P</v>
      </c>
      <c r="L15" s="71" t="str">
        <f t="shared" si="5"/>
        <v> </v>
      </c>
      <c r="M15" s="71" t="str">
        <f t="shared" si="5"/>
        <v> </v>
      </c>
      <c r="N15" s="71" t="str">
        <f t="shared" si="5"/>
        <v> </v>
      </c>
      <c r="O15" s="71" t="str">
        <f t="shared" si="5"/>
        <v>A</v>
      </c>
      <c r="P15" s="71" t="str">
        <f t="shared" si="5"/>
        <v> </v>
      </c>
      <c r="Q15" s="71" t="str">
        <f t="shared" si="5"/>
        <v> </v>
      </c>
      <c r="R15" s="71" t="str">
        <f t="shared" si="5"/>
        <v> </v>
      </c>
      <c r="S15" s="71" t="str">
        <f t="shared" si="5"/>
        <v> </v>
      </c>
      <c r="T15" s="71">
        <f t="shared" si="5"/>
      </c>
      <c r="U15" s="71" t="str">
        <f t="shared" si="3"/>
        <v> </v>
      </c>
      <c r="V15" s="71" t="str">
        <f t="shared" si="3"/>
        <v> </v>
      </c>
      <c r="W15" s="71" t="str">
        <f t="shared" si="3"/>
        <v> </v>
      </c>
      <c r="X15" s="71" t="str">
        <f t="shared" si="3"/>
        <v> </v>
      </c>
      <c r="Y15" s="71" t="str">
        <f t="shared" si="3"/>
        <v> </v>
      </c>
      <c r="Z15" s="71" t="str">
        <f t="shared" si="3"/>
        <v> </v>
      </c>
      <c r="AA15" s="71" t="str">
        <f t="shared" si="3"/>
        <v> </v>
      </c>
      <c r="AB15" s="71" t="str">
        <f t="shared" si="3"/>
        <v> </v>
      </c>
      <c r="AC15" s="71" t="str">
        <f t="shared" si="3"/>
        <v> </v>
      </c>
      <c r="AD15" s="71" t="str">
        <f t="shared" si="6"/>
        <v> </v>
      </c>
    </row>
    <row r="16" spans="1:30" ht="11.25">
      <c r="A16" s="130" t="s">
        <v>632</v>
      </c>
      <c r="B16" s="71" t="str">
        <f t="shared" si="4"/>
        <v>LDCDUNS##</v>
      </c>
      <c r="C16" s="71" t="str">
        <f t="shared" si="4"/>
        <v>SUPDUNS##</v>
      </c>
      <c r="D16" s="179">
        <f t="shared" si="4"/>
        <v>35978</v>
      </c>
      <c r="E16" s="71" t="str">
        <f t="shared" si="4"/>
        <v> </v>
      </c>
      <c r="F16" s="71" t="str">
        <f t="shared" si="4"/>
        <v>E</v>
      </c>
      <c r="G16" s="71" t="str">
        <f t="shared" si="4"/>
        <v>S0000000000011</v>
      </c>
      <c r="H16" s="71" t="str">
        <f t="shared" si="4"/>
        <v>D0000000000011</v>
      </c>
      <c r="I16" s="71" t="str">
        <f t="shared" si="4"/>
        <v>CRAN</v>
      </c>
      <c r="J16" s="71" t="str">
        <f t="shared" si="4"/>
        <v> </v>
      </c>
      <c r="K16" s="71" t="str">
        <f t="shared" si="4"/>
        <v>C</v>
      </c>
      <c r="L16" s="71" t="str">
        <f t="shared" si="5"/>
        <v> </v>
      </c>
      <c r="M16" s="71" t="str">
        <f t="shared" si="5"/>
        <v>R01</v>
      </c>
      <c r="N16" s="71" t="str">
        <f t="shared" si="5"/>
        <v>R000001</v>
      </c>
      <c r="O16" s="71" t="str">
        <f t="shared" si="5"/>
        <v>A</v>
      </c>
      <c r="P16" s="71" t="str">
        <f t="shared" si="5"/>
        <v> </v>
      </c>
      <c r="Q16" s="71" t="str">
        <f t="shared" si="5"/>
        <v> </v>
      </c>
      <c r="R16" s="71" t="str">
        <f t="shared" si="5"/>
        <v> </v>
      </c>
      <c r="S16" s="71" t="str">
        <f t="shared" si="5"/>
        <v> </v>
      </c>
      <c r="T16" s="71" t="str">
        <f t="shared" si="5"/>
        <v>N</v>
      </c>
      <c r="U16" s="71" t="str">
        <f t="shared" si="3"/>
        <v> </v>
      </c>
      <c r="V16" s="71" t="str">
        <f t="shared" si="3"/>
        <v> </v>
      </c>
      <c r="W16" s="71" t="str">
        <f t="shared" si="3"/>
        <v> </v>
      </c>
      <c r="X16" s="71" t="str">
        <f t="shared" si="3"/>
        <v> </v>
      </c>
      <c r="Y16" s="71" t="str">
        <f t="shared" si="3"/>
        <v> </v>
      </c>
      <c r="Z16" s="71" t="str">
        <f t="shared" si="3"/>
        <v> </v>
      </c>
      <c r="AA16" s="71" t="str">
        <f t="shared" si="3"/>
        <v> </v>
      </c>
      <c r="AB16" s="71" t="str">
        <f t="shared" si="3"/>
        <v> </v>
      </c>
      <c r="AC16" s="71" t="str">
        <f t="shared" si="3"/>
        <v> </v>
      </c>
      <c r="AD16" s="71" t="str">
        <f t="shared" si="6"/>
        <v> </v>
      </c>
    </row>
    <row r="17" spans="1:30" ht="11.25">
      <c r="A17" s="130" t="s">
        <v>633</v>
      </c>
      <c r="B17" s="71" t="str">
        <f t="shared" si="4"/>
        <v>LDCDUNS##</v>
      </c>
      <c r="C17" s="71" t="str">
        <f t="shared" si="4"/>
        <v>SUPDUNS##</v>
      </c>
      <c r="D17" s="179">
        <f t="shared" si="4"/>
        <v>35978</v>
      </c>
      <c r="E17" s="71" t="str">
        <f t="shared" si="4"/>
        <v> </v>
      </c>
      <c r="F17" s="71" t="str">
        <f t="shared" si="4"/>
        <v>E</v>
      </c>
      <c r="G17" s="71" t="str">
        <f t="shared" si="4"/>
        <v>S0000000000012</v>
      </c>
      <c r="H17" s="71" t="str">
        <f t="shared" si="4"/>
        <v>D0000000000012</v>
      </c>
      <c r="I17" s="71" t="str">
        <f t="shared" si="4"/>
        <v>IBM</v>
      </c>
      <c r="J17" s="71" t="str">
        <f t="shared" si="4"/>
        <v> </v>
      </c>
      <c r="K17" s="71" t="str">
        <f t="shared" si="4"/>
        <v>C</v>
      </c>
      <c r="L17" s="71" t="str">
        <f t="shared" si="5"/>
        <v> </v>
      </c>
      <c r="M17" s="71" t="str">
        <f t="shared" si="5"/>
        <v>G00</v>
      </c>
      <c r="N17" s="71" t="str">
        <f t="shared" si="5"/>
        <v>G000001</v>
      </c>
      <c r="O17" s="71" t="str">
        <f t="shared" si="5"/>
        <v>A</v>
      </c>
      <c r="P17" s="71" t="str">
        <f t="shared" si="5"/>
        <v> </v>
      </c>
      <c r="Q17" s="71" t="str">
        <f t="shared" si="5"/>
        <v> </v>
      </c>
      <c r="R17" s="71" t="str">
        <f t="shared" si="5"/>
        <v> </v>
      </c>
      <c r="S17" s="71" t="str">
        <f t="shared" si="5"/>
        <v> </v>
      </c>
      <c r="T17" s="71" t="str">
        <f t="shared" si="5"/>
        <v>N</v>
      </c>
      <c r="U17" s="71" t="str">
        <f t="shared" si="3"/>
        <v> </v>
      </c>
      <c r="V17" s="71" t="str">
        <f t="shared" si="3"/>
        <v> </v>
      </c>
      <c r="W17" s="71" t="str">
        <f t="shared" si="3"/>
        <v> </v>
      </c>
      <c r="X17" s="71" t="str">
        <f t="shared" si="3"/>
        <v> </v>
      </c>
      <c r="Y17" s="71" t="str">
        <f t="shared" si="3"/>
        <v> </v>
      </c>
      <c r="Z17" s="71" t="str">
        <f t="shared" si="3"/>
        <v> </v>
      </c>
      <c r="AA17" s="71" t="str">
        <f t="shared" si="3"/>
        <v> </v>
      </c>
      <c r="AB17" s="71" t="str">
        <f t="shared" si="3"/>
        <v> </v>
      </c>
      <c r="AC17" s="71" t="str">
        <f t="shared" si="3"/>
        <v> </v>
      </c>
      <c r="AD17" s="71" t="str">
        <f t="shared" si="6"/>
        <v> </v>
      </c>
    </row>
    <row r="18" spans="1:30" ht="11.25">
      <c r="A18" s="130" t="s">
        <v>634</v>
      </c>
      <c r="B18" s="71" t="str">
        <f t="shared" si="4"/>
        <v>LDCDUNS##</v>
      </c>
      <c r="C18" s="71" t="str">
        <f t="shared" si="4"/>
        <v>SUPDUNS##</v>
      </c>
      <c r="D18" s="179">
        <f t="shared" si="4"/>
        <v>35978</v>
      </c>
      <c r="E18" s="71" t="str">
        <f t="shared" si="4"/>
        <v> </v>
      </c>
      <c r="F18" s="71" t="str">
        <f t="shared" si="4"/>
        <v>E</v>
      </c>
      <c r="G18" s="71" t="str">
        <f t="shared" si="4"/>
        <v>S0000000000013</v>
      </c>
      <c r="H18" s="71" t="str">
        <f t="shared" si="4"/>
        <v>D0000000000013</v>
      </c>
      <c r="I18" s="71" t="str">
        <f t="shared" si="4"/>
        <v>EL N</v>
      </c>
      <c r="J18" s="71">
        <f t="shared" si="4"/>
      </c>
      <c r="K18" s="71" t="str">
        <f t="shared" si="4"/>
        <v>P</v>
      </c>
      <c r="L18" s="71" t="str">
        <f t="shared" si="5"/>
        <v> </v>
      </c>
      <c r="M18" s="71" t="str">
        <f t="shared" si="5"/>
        <v> </v>
      </c>
      <c r="N18" s="71" t="str">
        <f t="shared" si="5"/>
        <v> </v>
      </c>
      <c r="O18" s="71" t="str">
        <f t="shared" si="5"/>
        <v>A</v>
      </c>
      <c r="P18" s="71">
        <f t="shared" si="5"/>
      </c>
      <c r="Q18" s="71" t="str">
        <f t="shared" si="5"/>
        <v> </v>
      </c>
      <c r="R18" s="71" t="str">
        <f t="shared" si="5"/>
        <v> </v>
      </c>
      <c r="S18" s="71">
        <f t="shared" si="5"/>
      </c>
      <c r="T18" s="71">
        <f t="shared" si="5"/>
      </c>
      <c r="U18" s="71" t="str">
        <f t="shared" si="3"/>
        <v> </v>
      </c>
      <c r="V18" s="71" t="str">
        <f t="shared" si="3"/>
        <v> </v>
      </c>
      <c r="W18" s="71" t="str">
        <f t="shared" si="3"/>
        <v> </v>
      </c>
      <c r="X18" s="71" t="str">
        <f t="shared" si="3"/>
        <v> </v>
      </c>
      <c r="Y18" s="71" t="str">
        <f t="shared" si="3"/>
        <v> </v>
      </c>
      <c r="Z18" s="71" t="str">
        <f t="shared" si="3"/>
        <v> </v>
      </c>
      <c r="AA18" s="71" t="str">
        <f t="shared" si="3"/>
        <v> </v>
      </c>
      <c r="AB18" s="71" t="str">
        <f t="shared" si="3"/>
        <v> </v>
      </c>
      <c r="AC18" s="71" t="str">
        <f t="shared" si="3"/>
        <v> </v>
      </c>
      <c r="AD18" s="71" t="str">
        <f t="shared" si="6"/>
        <v> </v>
      </c>
    </row>
    <row r="19" spans="1:30" ht="11.25">
      <c r="A19" s="130" t="s">
        <v>635</v>
      </c>
      <c r="B19" s="71" t="str">
        <f aca="true" t="shared" si="7" ref="B19:O19">VLOOKUP($A19,Format_1_Table,B$3,FALSE)</f>
        <v>LDCDUNS##</v>
      </c>
      <c r="C19" s="71" t="str">
        <f t="shared" si="7"/>
        <v>SUPDUNS##</v>
      </c>
      <c r="D19" s="179">
        <f t="shared" si="7"/>
        <v>35978</v>
      </c>
      <c r="E19" s="71" t="str">
        <f t="shared" si="7"/>
        <v> </v>
      </c>
      <c r="F19" s="71" t="str">
        <f t="shared" si="7"/>
        <v>E</v>
      </c>
      <c r="G19" s="71" t="str">
        <f t="shared" si="7"/>
        <v>S0000000000014</v>
      </c>
      <c r="H19" s="71" t="str">
        <f t="shared" si="7"/>
        <v>D0000000000014</v>
      </c>
      <c r="I19" s="71" t="str">
        <f t="shared" si="7"/>
        <v>WINS</v>
      </c>
      <c r="J19" s="71">
        <f t="shared" si="7"/>
      </c>
      <c r="K19" s="71" t="str">
        <f t="shared" si="7"/>
        <v>C</v>
      </c>
      <c r="L19" s="71" t="str">
        <f t="shared" si="7"/>
        <v> </v>
      </c>
      <c r="M19" s="71" t="str">
        <f t="shared" si="7"/>
        <v>R01</v>
      </c>
      <c r="N19" s="71" t="str">
        <f t="shared" si="7"/>
        <v>R000001</v>
      </c>
      <c r="O19" s="71" t="str">
        <f t="shared" si="7"/>
        <v>A</v>
      </c>
      <c r="P19" s="71">
        <f aca="true" t="shared" si="8" ref="P19:AD26">VLOOKUP($A19,Format_1_Table,P$3,FALSE)</f>
      </c>
      <c r="Q19" s="71" t="str">
        <f t="shared" si="8"/>
        <v> </v>
      </c>
      <c r="R19" s="71" t="str">
        <f t="shared" si="8"/>
        <v> </v>
      </c>
      <c r="S19" s="71">
        <f t="shared" si="8"/>
      </c>
      <c r="T19" s="71" t="str">
        <f t="shared" si="8"/>
        <v>N</v>
      </c>
      <c r="U19" s="71" t="str">
        <f t="shared" si="3"/>
        <v> </v>
      </c>
      <c r="V19" s="71" t="str">
        <f t="shared" si="3"/>
        <v> </v>
      </c>
      <c r="W19" s="71" t="str">
        <f t="shared" si="3"/>
        <v> </v>
      </c>
      <c r="X19" s="71" t="str">
        <f t="shared" si="3"/>
        <v> </v>
      </c>
      <c r="Y19" s="71" t="str">
        <f t="shared" si="3"/>
        <v> </v>
      </c>
      <c r="Z19" s="71" t="str">
        <f t="shared" si="3"/>
        <v> </v>
      </c>
      <c r="AA19" s="71" t="str">
        <f t="shared" si="3"/>
        <v> </v>
      </c>
      <c r="AB19" s="71" t="str">
        <f t="shared" si="3"/>
        <v> </v>
      </c>
      <c r="AC19" s="71" t="str">
        <f t="shared" si="3"/>
        <v> </v>
      </c>
      <c r="AD19" s="71" t="str">
        <f t="shared" si="8"/>
        <v> </v>
      </c>
    </row>
    <row r="20" spans="1:30" ht="11.25">
      <c r="A20" s="130" t="s">
        <v>636</v>
      </c>
      <c r="B20" s="71" t="str">
        <f aca="true" t="shared" si="9" ref="B20:Q26">VLOOKUP($A20,Format_1_Table,B$3,FALSE)</f>
        <v>LDCDUNS##</v>
      </c>
      <c r="C20" s="71" t="str">
        <f t="shared" si="9"/>
        <v>SUPDUNS##</v>
      </c>
      <c r="D20" s="179">
        <f t="shared" si="9"/>
        <v>35978</v>
      </c>
      <c r="E20" s="71" t="str">
        <f t="shared" si="9"/>
        <v> </v>
      </c>
      <c r="F20" s="71" t="str">
        <f t="shared" si="9"/>
        <v>E</v>
      </c>
      <c r="G20" s="71" t="str">
        <f t="shared" si="9"/>
        <v>S0000000000015</v>
      </c>
      <c r="H20" s="71" t="str">
        <f t="shared" si="9"/>
        <v>D0000000000015</v>
      </c>
      <c r="I20" s="71" t="str">
        <f t="shared" si="9"/>
        <v>ELLI</v>
      </c>
      <c r="J20" s="71">
        <f t="shared" si="9"/>
      </c>
      <c r="K20" s="71" t="str">
        <f t="shared" si="9"/>
        <v>C</v>
      </c>
      <c r="L20" s="71" t="str">
        <f t="shared" si="9"/>
        <v> </v>
      </c>
      <c r="M20" s="71" t="str">
        <f t="shared" si="9"/>
        <v>R01</v>
      </c>
      <c r="N20" s="71" t="str">
        <f t="shared" si="9"/>
        <v>R000001</v>
      </c>
      <c r="O20" s="71" t="str">
        <f t="shared" si="9"/>
        <v>A</v>
      </c>
      <c r="P20" s="71" t="str">
        <f t="shared" si="9"/>
        <v> </v>
      </c>
      <c r="Q20" s="71" t="str">
        <f t="shared" si="9"/>
        <v> </v>
      </c>
      <c r="R20" s="71" t="str">
        <f t="shared" si="8"/>
        <v> </v>
      </c>
      <c r="S20" s="71" t="str">
        <f t="shared" si="8"/>
        <v> </v>
      </c>
      <c r="T20" s="71" t="str">
        <f t="shared" si="8"/>
        <v>N</v>
      </c>
      <c r="U20" s="71" t="str">
        <f t="shared" si="3"/>
        <v> </v>
      </c>
      <c r="V20" s="71" t="str">
        <f t="shared" si="3"/>
        <v> </v>
      </c>
      <c r="W20" s="71" t="str">
        <f t="shared" si="3"/>
        <v> </v>
      </c>
      <c r="X20" s="71" t="str">
        <f t="shared" si="3"/>
        <v> </v>
      </c>
      <c r="Y20" s="71" t="str">
        <f t="shared" si="3"/>
        <v> </v>
      </c>
      <c r="Z20" s="71" t="str">
        <f t="shared" si="3"/>
        <v> </v>
      </c>
      <c r="AA20" s="71" t="str">
        <f t="shared" si="3"/>
        <v> </v>
      </c>
      <c r="AB20" s="71" t="str">
        <f t="shared" si="3"/>
        <v> </v>
      </c>
      <c r="AC20" s="71" t="str">
        <f t="shared" si="3"/>
        <v> </v>
      </c>
      <c r="AD20" s="71" t="str">
        <f t="shared" si="8"/>
        <v> </v>
      </c>
    </row>
    <row r="21" spans="1:30" ht="11.25">
      <c r="A21" s="130" t="s">
        <v>637</v>
      </c>
      <c r="B21" s="71" t="str">
        <f t="shared" si="9"/>
        <v>LDCDUNS##</v>
      </c>
      <c r="C21" s="71" t="str">
        <f t="shared" si="9"/>
        <v>SUPDUNS##</v>
      </c>
      <c r="D21" s="179">
        <f t="shared" si="9"/>
        <v>35978</v>
      </c>
      <c r="E21" s="71" t="str">
        <f t="shared" si="9"/>
        <v> </v>
      </c>
      <c r="F21" s="71" t="str">
        <f t="shared" si="9"/>
        <v>E</v>
      </c>
      <c r="G21" s="71" t="str">
        <f t="shared" si="9"/>
        <v>S0000000000016</v>
      </c>
      <c r="H21" s="71" t="str">
        <f t="shared" si="9"/>
        <v>D0000000000016</v>
      </c>
      <c r="I21" s="71" t="str">
        <f t="shared" si="9"/>
        <v>DONA</v>
      </c>
      <c r="J21" s="71">
        <f t="shared" si="9"/>
      </c>
      <c r="K21" s="71" t="str">
        <f t="shared" si="9"/>
        <v>P</v>
      </c>
      <c r="L21" s="71" t="str">
        <f t="shared" si="9"/>
        <v> </v>
      </c>
      <c r="M21" s="71" t="str">
        <f t="shared" si="9"/>
        <v> </v>
      </c>
      <c r="N21" s="71" t="str">
        <f t="shared" si="9"/>
        <v> </v>
      </c>
      <c r="O21" s="71" t="str">
        <f t="shared" si="9"/>
        <v>A</v>
      </c>
      <c r="P21" s="71" t="str">
        <f t="shared" si="9"/>
        <v> </v>
      </c>
      <c r="Q21" s="71" t="str">
        <f t="shared" si="9"/>
        <v> </v>
      </c>
      <c r="R21" s="71" t="str">
        <f t="shared" si="8"/>
        <v> </v>
      </c>
      <c r="S21" s="71" t="str">
        <f t="shared" si="8"/>
        <v> </v>
      </c>
      <c r="T21" s="71">
        <f t="shared" si="8"/>
      </c>
      <c r="U21" s="71" t="str">
        <f t="shared" si="8"/>
        <v> </v>
      </c>
      <c r="V21" s="71" t="str">
        <f t="shared" si="8"/>
        <v> </v>
      </c>
      <c r="W21" s="71" t="str">
        <f t="shared" si="8"/>
        <v> </v>
      </c>
      <c r="X21" s="71" t="str">
        <f t="shared" si="8"/>
        <v> </v>
      </c>
      <c r="Y21" s="71" t="str">
        <f t="shared" si="8"/>
        <v> </v>
      </c>
      <c r="Z21" s="71" t="str">
        <f t="shared" si="8"/>
        <v> </v>
      </c>
      <c r="AA21" s="71" t="str">
        <f t="shared" si="8"/>
        <v> </v>
      </c>
      <c r="AB21" s="71" t="str">
        <f t="shared" si="8"/>
        <v> </v>
      </c>
      <c r="AC21" s="71" t="str">
        <f t="shared" si="8"/>
        <v> </v>
      </c>
      <c r="AD21" s="71" t="str">
        <f t="shared" si="8"/>
        <v> </v>
      </c>
    </row>
    <row r="22" spans="1:30" ht="11.25">
      <c r="A22" s="130" t="s">
        <v>638</v>
      </c>
      <c r="B22" s="71" t="str">
        <f t="shared" si="9"/>
        <v>LDCDUNS##</v>
      </c>
      <c r="C22" s="71" t="str">
        <f t="shared" si="9"/>
        <v>SUPDUNS##</v>
      </c>
      <c r="D22" s="179">
        <f t="shared" si="9"/>
        <v>35978</v>
      </c>
      <c r="E22" s="71" t="str">
        <f t="shared" si="9"/>
        <v> </v>
      </c>
      <c r="F22" s="71" t="str">
        <f t="shared" si="9"/>
        <v>E</v>
      </c>
      <c r="G22" s="71" t="str">
        <f t="shared" si="9"/>
        <v>S0000000000017</v>
      </c>
      <c r="H22" s="71" t="str">
        <f t="shared" si="9"/>
        <v>D0000000000017</v>
      </c>
      <c r="I22" s="71" t="str">
        <f t="shared" si="9"/>
        <v>WIGG</v>
      </c>
      <c r="J22" s="71">
        <f t="shared" si="9"/>
      </c>
      <c r="K22" s="71" t="str">
        <f t="shared" si="9"/>
        <v>P</v>
      </c>
      <c r="L22" s="71" t="str">
        <f t="shared" si="9"/>
        <v> </v>
      </c>
      <c r="M22" s="71" t="str">
        <f t="shared" si="9"/>
        <v> </v>
      </c>
      <c r="N22" s="71" t="str">
        <f t="shared" si="9"/>
        <v> </v>
      </c>
      <c r="O22" s="71" t="str">
        <f t="shared" si="9"/>
        <v>A</v>
      </c>
      <c r="P22" s="71" t="str">
        <f t="shared" si="9"/>
        <v> </v>
      </c>
      <c r="Q22" s="71" t="str">
        <f t="shared" si="9"/>
        <v> </v>
      </c>
      <c r="R22" s="71" t="str">
        <f t="shared" si="8"/>
        <v> </v>
      </c>
      <c r="S22" s="71" t="str">
        <f t="shared" si="8"/>
        <v> </v>
      </c>
      <c r="T22" s="71">
        <f t="shared" si="8"/>
      </c>
      <c r="U22" s="71" t="str">
        <f t="shared" si="8"/>
        <v> </v>
      </c>
      <c r="V22" s="71" t="str">
        <f t="shared" si="8"/>
        <v> </v>
      </c>
      <c r="W22" s="71" t="str">
        <f t="shared" si="8"/>
        <v> </v>
      </c>
      <c r="X22" s="71" t="str">
        <f t="shared" si="8"/>
        <v> </v>
      </c>
      <c r="Y22" s="71" t="str">
        <f t="shared" si="8"/>
        <v> </v>
      </c>
      <c r="Z22" s="71" t="str">
        <f t="shared" si="8"/>
        <v> </v>
      </c>
      <c r="AA22" s="71" t="str">
        <f t="shared" si="8"/>
        <v> </v>
      </c>
      <c r="AB22" s="71" t="str">
        <f t="shared" si="8"/>
        <v> </v>
      </c>
      <c r="AC22" s="71" t="str">
        <f t="shared" si="8"/>
        <v> </v>
      </c>
      <c r="AD22" s="71" t="str">
        <f t="shared" si="8"/>
        <v> </v>
      </c>
    </row>
    <row r="23" spans="1:30" ht="11.25">
      <c r="A23" s="130" t="s">
        <v>639</v>
      </c>
      <c r="B23" s="71" t="str">
        <f t="shared" si="9"/>
        <v>LDCDUNS##</v>
      </c>
      <c r="C23" s="71" t="str">
        <f t="shared" si="9"/>
        <v>SUPDUNS##</v>
      </c>
      <c r="D23" s="179">
        <f t="shared" si="9"/>
        <v>35978</v>
      </c>
      <c r="E23" s="71" t="str">
        <f t="shared" si="9"/>
        <v> </v>
      </c>
      <c r="F23" s="71" t="str">
        <f t="shared" si="9"/>
        <v>E</v>
      </c>
      <c r="G23" s="71" t="str">
        <f t="shared" si="9"/>
        <v>S0000000000018</v>
      </c>
      <c r="H23" s="71" t="str">
        <f t="shared" si="9"/>
        <v>D0000000000018</v>
      </c>
      <c r="I23" s="71" t="str">
        <f t="shared" si="9"/>
        <v>TURC</v>
      </c>
      <c r="J23" s="71">
        <f t="shared" si="9"/>
      </c>
      <c r="K23" s="71" t="str">
        <f t="shared" si="9"/>
        <v>C</v>
      </c>
      <c r="L23" s="71" t="str">
        <f t="shared" si="9"/>
        <v> </v>
      </c>
      <c r="M23" s="71" t="str">
        <f t="shared" si="9"/>
        <v>G00</v>
      </c>
      <c r="N23" s="71" t="str">
        <f t="shared" si="9"/>
        <v>G000001</v>
      </c>
      <c r="O23" s="71" t="str">
        <f t="shared" si="9"/>
        <v>A</v>
      </c>
      <c r="P23" s="71" t="str">
        <f t="shared" si="9"/>
        <v> </v>
      </c>
      <c r="Q23" s="71" t="str">
        <f t="shared" si="9"/>
        <v> </v>
      </c>
      <c r="R23" s="71" t="str">
        <f t="shared" si="8"/>
        <v> </v>
      </c>
      <c r="S23" s="71" t="str">
        <f t="shared" si="8"/>
        <v> </v>
      </c>
      <c r="T23" s="71" t="str">
        <f t="shared" si="8"/>
        <v>Y</v>
      </c>
      <c r="U23" s="71" t="str">
        <f t="shared" si="8"/>
        <v> </v>
      </c>
      <c r="V23" s="71" t="str">
        <f t="shared" si="8"/>
        <v> </v>
      </c>
      <c r="W23" s="71" t="str">
        <f t="shared" si="8"/>
        <v> </v>
      </c>
      <c r="X23" s="71" t="str">
        <f t="shared" si="8"/>
        <v> </v>
      </c>
      <c r="Y23" s="71" t="str">
        <f t="shared" si="8"/>
        <v> </v>
      </c>
      <c r="Z23" s="71" t="str">
        <f t="shared" si="8"/>
        <v> </v>
      </c>
      <c r="AA23" s="71" t="str">
        <f t="shared" si="8"/>
        <v> </v>
      </c>
      <c r="AB23" s="71" t="str">
        <f t="shared" si="8"/>
        <v> </v>
      </c>
      <c r="AC23" s="71" t="str">
        <f t="shared" si="8"/>
        <v> </v>
      </c>
      <c r="AD23" s="71" t="str">
        <f t="shared" si="8"/>
        <v> </v>
      </c>
    </row>
    <row r="24" spans="1:30" ht="11.25">
      <c r="A24" s="130" t="s">
        <v>640</v>
      </c>
      <c r="B24" s="71" t="str">
        <f t="shared" si="9"/>
        <v>LDCDUNS##</v>
      </c>
      <c r="C24" s="71" t="str">
        <f t="shared" si="9"/>
        <v>SUPDUNS##</v>
      </c>
      <c r="D24" s="179">
        <f t="shared" si="9"/>
        <v>35978</v>
      </c>
      <c r="E24" s="71" t="str">
        <f t="shared" si="9"/>
        <v> </v>
      </c>
      <c r="F24" s="71" t="str">
        <f t="shared" si="9"/>
        <v>E</v>
      </c>
      <c r="G24" s="71" t="str">
        <f t="shared" si="9"/>
        <v>S0000000000019</v>
      </c>
      <c r="H24" s="71" t="str">
        <f t="shared" si="9"/>
        <v>D0000000000019</v>
      </c>
      <c r="I24" s="71" t="str">
        <f t="shared" si="9"/>
        <v>JONE</v>
      </c>
      <c r="J24" s="71">
        <f t="shared" si="9"/>
      </c>
      <c r="K24" s="71" t="str">
        <f t="shared" si="9"/>
        <v>C</v>
      </c>
      <c r="L24" s="71" t="str">
        <f t="shared" si="9"/>
        <v> </v>
      </c>
      <c r="M24" s="71" t="str">
        <f t="shared" si="9"/>
        <v>U99</v>
      </c>
      <c r="N24" s="71" t="str">
        <f t="shared" si="9"/>
        <v>U000001</v>
      </c>
      <c r="O24" s="71" t="str">
        <f t="shared" si="9"/>
        <v>A</v>
      </c>
      <c r="P24" s="71" t="str">
        <f t="shared" si="9"/>
        <v> </v>
      </c>
      <c r="Q24" s="71" t="str">
        <f t="shared" si="9"/>
        <v> </v>
      </c>
      <c r="R24" s="71" t="str">
        <f t="shared" si="8"/>
        <v> </v>
      </c>
      <c r="S24" s="71" t="str">
        <f t="shared" si="8"/>
        <v> </v>
      </c>
      <c r="T24" s="71" t="str">
        <f t="shared" si="8"/>
        <v>Y</v>
      </c>
      <c r="U24" s="71" t="str">
        <f t="shared" si="8"/>
        <v> </v>
      </c>
      <c r="V24" s="71" t="str">
        <f t="shared" si="8"/>
        <v> </v>
      </c>
      <c r="W24" s="71" t="str">
        <f t="shared" si="8"/>
        <v> </v>
      </c>
      <c r="X24" s="71" t="str">
        <f t="shared" si="8"/>
        <v> </v>
      </c>
      <c r="Y24" s="71" t="str">
        <f t="shared" si="8"/>
        <v> </v>
      </c>
      <c r="Z24" s="71" t="str">
        <f t="shared" si="8"/>
        <v> </v>
      </c>
      <c r="AA24" s="71" t="str">
        <f t="shared" si="8"/>
        <v> </v>
      </c>
      <c r="AB24" s="71" t="str">
        <f t="shared" si="8"/>
        <v> </v>
      </c>
      <c r="AC24" s="71" t="str">
        <f t="shared" si="8"/>
        <v> </v>
      </c>
      <c r="AD24" s="71" t="str">
        <f t="shared" si="8"/>
        <v> </v>
      </c>
    </row>
    <row r="25" spans="1:30" ht="11.25">
      <c r="A25" s="130" t="s">
        <v>641</v>
      </c>
      <c r="B25" s="71" t="str">
        <f t="shared" si="9"/>
        <v>LDCDUNS##</v>
      </c>
      <c r="C25" s="71" t="str">
        <f t="shared" si="9"/>
        <v>SUPDUNS##</v>
      </c>
      <c r="D25" s="179">
        <f t="shared" si="9"/>
        <v>35978</v>
      </c>
      <c r="E25" s="71" t="str">
        <f t="shared" si="9"/>
        <v> </v>
      </c>
      <c r="F25" s="71" t="str">
        <f t="shared" si="9"/>
        <v>E</v>
      </c>
      <c r="G25" s="71" t="str">
        <f t="shared" si="9"/>
        <v>S0000000000020</v>
      </c>
      <c r="H25" s="71" t="str">
        <f t="shared" si="9"/>
        <v>D0000000000020</v>
      </c>
      <c r="I25" s="71" t="str">
        <f t="shared" si="9"/>
        <v>EAST</v>
      </c>
      <c r="J25" s="71">
        <f t="shared" si="9"/>
      </c>
      <c r="K25" s="71" t="str">
        <f t="shared" si="9"/>
        <v>C</v>
      </c>
      <c r="L25" s="71" t="str">
        <f t="shared" si="9"/>
        <v> </v>
      </c>
      <c r="M25" s="71" t="str">
        <f t="shared" si="9"/>
        <v>R01</v>
      </c>
      <c r="N25" s="71" t="str">
        <f t="shared" si="9"/>
        <v>R000001</v>
      </c>
      <c r="O25" s="71" t="str">
        <f t="shared" si="9"/>
        <v>A</v>
      </c>
      <c r="P25" s="71" t="str">
        <f t="shared" si="9"/>
        <v> </v>
      </c>
      <c r="Q25" s="71" t="str">
        <f t="shared" si="9"/>
        <v> </v>
      </c>
      <c r="R25" s="71" t="str">
        <f t="shared" si="8"/>
        <v> </v>
      </c>
      <c r="S25" s="71">
        <f t="shared" si="8"/>
      </c>
      <c r="T25" s="71" t="str">
        <f t="shared" si="8"/>
        <v>N</v>
      </c>
      <c r="U25" s="71" t="str">
        <f t="shared" si="8"/>
        <v> </v>
      </c>
      <c r="V25" s="71" t="str">
        <f t="shared" si="8"/>
        <v> </v>
      </c>
      <c r="W25" s="71" t="str">
        <f t="shared" si="8"/>
        <v> </v>
      </c>
      <c r="X25" s="71" t="str">
        <f t="shared" si="8"/>
        <v> </v>
      </c>
      <c r="Y25" s="71" t="str">
        <f t="shared" si="8"/>
        <v> </v>
      </c>
      <c r="Z25" s="71" t="str">
        <f t="shared" si="8"/>
        <v> </v>
      </c>
      <c r="AA25" s="71" t="str">
        <f t="shared" si="8"/>
        <v> </v>
      </c>
      <c r="AB25" s="71" t="str">
        <f t="shared" si="8"/>
        <v> </v>
      </c>
      <c r="AC25" s="71" t="str">
        <f t="shared" si="8"/>
        <v> </v>
      </c>
      <c r="AD25" s="71" t="str">
        <f t="shared" si="8"/>
        <v> </v>
      </c>
    </row>
    <row r="26" spans="1:30" ht="11.25">
      <c r="A26" s="130" t="s">
        <v>642</v>
      </c>
      <c r="B26" s="71" t="str">
        <f t="shared" si="9"/>
        <v>LDCDUNS##</v>
      </c>
      <c r="C26" s="71" t="str">
        <f t="shared" si="9"/>
        <v>SUPDUNS##</v>
      </c>
      <c r="D26" s="179">
        <f t="shared" si="9"/>
        <v>35978</v>
      </c>
      <c r="E26" s="71" t="str">
        <f t="shared" si="9"/>
        <v> </v>
      </c>
      <c r="F26" s="71" t="str">
        <f t="shared" si="9"/>
        <v>H</v>
      </c>
      <c r="G26" s="71" t="str">
        <f t="shared" si="9"/>
        <v> </v>
      </c>
      <c r="H26" s="71" t="str">
        <f t="shared" si="9"/>
        <v>D0000000000012</v>
      </c>
      <c r="I26" s="71" t="str">
        <f t="shared" si="9"/>
        <v>IBM</v>
      </c>
      <c r="J26" s="71" t="str">
        <f t="shared" si="9"/>
        <v> </v>
      </c>
      <c r="K26" s="71" t="str">
        <f t="shared" si="9"/>
        <v> </v>
      </c>
      <c r="L26" s="71" t="str">
        <f t="shared" si="9"/>
        <v> </v>
      </c>
      <c r="M26" s="71" t="str">
        <f t="shared" si="9"/>
        <v> </v>
      </c>
      <c r="N26" s="71" t="str">
        <f t="shared" si="9"/>
        <v> </v>
      </c>
      <c r="O26" s="71" t="str">
        <f t="shared" si="9"/>
        <v> </v>
      </c>
      <c r="P26" s="71" t="str">
        <f t="shared" si="9"/>
        <v> </v>
      </c>
      <c r="Q26" s="71" t="str">
        <f t="shared" si="9"/>
        <v> </v>
      </c>
      <c r="R26" s="71" t="str">
        <f t="shared" si="8"/>
        <v> </v>
      </c>
      <c r="S26" s="71" t="str">
        <f t="shared" si="8"/>
        <v> </v>
      </c>
      <c r="T26" s="71" t="str">
        <f t="shared" si="8"/>
        <v> </v>
      </c>
      <c r="U26" s="71" t="str">
        <f t="shared" si="8"/>
        <v> </v>
      </c>
      <c r="V26" s="71" t="str">
        <f t="shared" si="8"/>
        <v> </v>
      </c>
      <c r="W26" s="71" t="str">
        <f t="shared" si="8"/>
        <v> </v>
      </c>
      <c r="X26" s="71" t="str">
        <f t="shared" si="8"/>
        <v> </v>
      </c>
      <c r="Y26" s="71" t="str">
        <f t="shared" si="8"/>
        <v> </v>
      </c>
      <c r="Z26" s="71" t="str">
        <f t="shared" si="8"/>
        <v> </v>
      </c>
      <c r="AA26" s="71" t="str">
        <f t="shared" si="8"/>
        <v> </v>
      </c>
      <c r="AB26" s="71" t="str">
        <f t="shared" si="8"/>
        <v> </v>
      </c>
      <c r="AC26" s="71" t="str">
        <f t="shared" si="8"/>
        <v> </v>
      </c>
      <c r="AD26" s="71" t="str">
        <f t="shared" si="8"/>
        <v> </v>
      </c>
    </row>
  </sheetData>
  <printOptions/>
  <pageMargins left="0.75" right="0.75" top="1" bottom="1" header="0.5" footer="0.5"/>
  <pageSetup fitToHeight="3" fitToWidth="1" horizontalDpi="600" verticalDpi="600" orientation="landscape" scale="67" r:id="rId1"/>
  <headerFooter alignWithMargins="0">
    <oddHeader>&amp;CEBT Test Conditions
&amp;A</oddHeader>
    <oddFooter>&amp;LVersion 5.0&amp;CPage &amp;P&amp;RIssued:  June 25, 1999
</oddFooter>
  </headerFooter>
</worksheet>
</file>

<file path=xl/worksheets/sheet13.xml><?xml version="1.0" encoding="utf-8"?>
<worksheet xmlns="http://schemas.openxmlformats.org/spreadsheetml/2006/main" xmlns:r="http://schemas.openxmlformats.org/officeDocument/2006/relationships">
  <dimension ref="A1:BB17"/>
  <sheetViews>
    <sheetView zoomScale="75" zoomScaleNormal="75" workbookViewId="0" topLeftCell="B1">
      <selection activeCell="D7" sqref="D7"/>
      <selection activeCell="H11" sqref="H11"/>
    </sheetView>
  </sheetViews>
  <sheetFormatPr defaultColWidth="9.140625" defaultRowHeight="12.75"/>
  <cols>
    <col min="1" max="1" width="12.140625" style="132" hidden="1" customWidth="1"/>
    <col min="2" max="3" width="11.00390625" style="132" customWidth="1"/>
    <col min="4" max="4" width="8.8515625" style="132" customWidth="1"/>
    <col min="5" max="5" width="4.7109375" style="132" customWidth="1"/>
    <col min="6" max="6" width="4.57421875" style="132" customWidth="1"/>
    <col min="7" max="7" width="14.57421875" style="132" customWidth="1"/>
    <col min="8" max="8" width="14.8515625" style="132" customWidth="1"/>
    <col min="9" max="9" width="6.28125" style="132" customWidth="1"/>
    <col min="10" max="13" width="5.421875" style="132" customWidth="1"/>
    <col min="14" max="14" width="8.140625" style="132" customWidth="1"/>
    <col min="15" max="15" width="5.421875" style="132" customWidth="1"/>
    <col min="16" max="16" width="11.421875" style="132" customWidth="1"/>
    <col min="17" max="41" width="5.421875" style="132" customWidth="1"/>
    <col min="42" max="43" width="8.8515625" style="132" customWidth="1"/>
    <col min="44" max="44" width="5.140625" style="132" customWidth="1"/>
    <col min="45" max="45" width="5.421875" style="132" customWidth="1"/>
    <col min="46" max="47" width="8.8515625" style="132" customWidth="1"/>
    <col min="48" max="48" width="5.140625" style="132" customWidth="1"/>
    <col min="49" max="49" width="5.421875" style="132" customWidth="1"/>
    <col min="50" max="51" width="8.8515625" style="132" customWidth="1"/>
    <col min="52" max="52" width="5.140625" style="132" customWidth="1"/>
    <col min="53" max="53" width="5.421875" style="132" customWidth="1"/>
    <col min="54" max="54" width="4.7109375" style="132" customWidth="1"/>
    <col min="55" max="16384" width="8.8515625" style="132" customWidth="1"/>
  </cols>
  <sheetData>
    <row r="1" ht="15.75">
      <c r="B1" s="219" t="s">
        <v>617</v>
      </c>
    </row>
    <row r="2" spans="1:30" s="208" customFormat="1" ht="12.75" hidden="1">
      <c r="A2" s="138" t="s">
        <v>618</v>
      </c>
      <c r="B2" s="208">
        <v>1</v>
      </c>
      <c r="C2" s="208">
        <v>2</v>
      </c>
      <c r="D2" s="208">
        <v>3</v>
      </c>
      <c r="E2" s="208">
        <v>4</v>
      </c>
      <c r="F2" s="208">
        <v>5</v>
      </c>
      <c r="G2" s="208">
        <v>6</v>
      </c>
      <c r="H2" s="208">
        <v>7</v>
      </c>
      <c r="I2" s="208">
        <v>8</v>
      </c>
      <c r="J2" s="208">
        <v>9</v>
      </c>
      <c r="K2" s="208">
        <v>10</v>
      </c>
      <c r="L2" s="208">
        <v>11</v>
      </c>
      <c r="M2" s="208">
        <v>12</v>
      </c>
      <c r="N2" s="208">
        <v>13</v>
      </c>
      <c r="O2" s="208">
        <v>14</v>
      </c>
      <c r="P2" s="208">
        <v>15</v>
      </c>
      <c r="Q2" s="208">
        <v>16</v>
      </c>
      <c r="R2" s="208">
        <v>17</v>
      </c>
      <c r="S2" s="208">
        <v>18</v>
      </c>
      <c r="T2" s="208">
        <v>19</v>
      </c>
      <c r="U2" s="208">
        <v>20</v>
      </c>
      <c r="V2" s="208">
        <v>21</v>
      </c>
      <c r="W2" s="208">
        <v>22</v>
      </c>
      <c r="X2" s="208">
        <v>23</v>
      </c>
      <c r="Y2" s="208">
        <v>24</v>
      </c>
      <c r="Z2" s="208">
        <v>25</v>
      </c>
      <c r="AA2" s="208">
        <v>26</v>
      </c>
      <c r="AB2" s="208">
        <v>27</v>
      </c>
      <c r="AC2" s="208">
        <v>28</v>
      </c>
      <c r="AD2" s="208">
        <v>29</v>
      </c>
    </row>
    <row r="3" spans="1:30" s="205" customFormat="1" ht="10.5" hidden="1">
      <c r="A3" s="209" t="s">
        <v>619</v>
      </c>
      <c r="B3" s="205">
        <v>7</v>
      </c>
      <c r="C3" s="205">
        <v>8</v>
      </c>
      <c r="D3" s="205">
        <v>9</v>
      </c>
      <c r="E3" s="206">
        <v>11</v>
      </c>
      <c r="F3" s="205">
        <v>10</v>
      </c>
      <c r="G3" s="205">
        <v>12</v>
      </c>
      <c r="H3" s="205">
        <v>13</v>
      </c>
      <c r="I3" s="205">
        <v>14</v>
      </c>
      <c r="J3" s="205">
        <v>15</v>
      </c>
      <c r="K3" s="205">
        <v>16</v>
      </c>
      <c r="L3" s="205">
        <v>17</v>
      </c>
      <c r="M3" s="205">
        <v>18</v>
      </c>
      <c r="N3" s="205">
        <v>19</v>
      </c>
      <c r="O3" s="205">
        <v>20</v>
      </c>
      <c r="P3" s="205">
        <v>21</v>
      </c>
      <c r="Q3" s="205">
        <v>22</v>
      </c>
      <c r="R3" s="205">
        <v>23</v>
      </c>
      <c r="S3" s="205">
        <v>24</v>
      </c>
      <c r="T3" s="205">
        <v>25</v>
      </c>
      <c r="U3" s="205">
        <v>26</v>
      </c>
      <c r="V3" s="205">
        <v>27</v>
      </c>
      <c r="W3" s="205">
        <v>28</v>
      </c>
      <c r="X3" s="205">
        <v>29</v>
      </c>
      <c r="Y3" s="205">
        <v>30</v>
      </c>
      <c r="Z3" s="205">
        <v>31</v>
      </c>
      <c r="AA3" s="205">
        <v>32</v>
      </c>
      <c r="AB3" s="205">
        <v>33</v>
      </c>
      <c r="AC3" s="205">
        <v>34</v>
      </c>
      <c r="AD3" s="205">
        <v>35</v>
      </c>
    </row>
    <row r="4" spans="1:30" s="130" customFormat="1" ht="12">
      <c r="A4" s="130" t="s">
        <v>643</v>
      </c>
      <c r="B4" s="220" t="str">
        <f aca="true" t="shared" si="0" ref="B4:S4">VLOOKUP($A4,Format_1_Table,B$3,FALSE)</f>
        <v>LDCDUNS##</v>
      </c>
      <c r="C4" s="220" t="str">
        <f t="shared" si="0"/>
        <v>SUPDUNS##</v>
      </c>
      <c r="D4" s="221">
        <f t="shared" si="0"/>
        <v>35979</v>
      </c>
      <c r="E4" s="220" t="str">
        <f t="shared" si="0"/>
        <v> </v>
      </c>
      <c r="F4" s="220" t="str">
        <f t="shared" si="0"/>
        <v>C</v>
      </c>
      <c r="G4" s="220" t="str">
        <f t="shared" si="0"/>
        <v>S0000000000002</v>
      </c>
      <c r="H4" s="220" t="str">
        <f t="shared" si="0"/>
        <v>D0000000000002</v>
      </c>
      <c r="I4" s="220" t="str">
        <f t="shared" si="0"/>
        <v>SMIT</v>
      </c>
      <c r="J4" s="220">
        <f t="shared" si="0"/>
      </c>
      <c r="K4" s="220" t="str">
        <f t="shared" si="0"/>
        <v>C</v>
      </c>
      <c r="L4" s="220" t="str">
        <f t="shared" si="0"/>
        <v> </v>
      </c>
      <c r="M4" s="220" t="str">
        <f t="shared" si="0"/>
        <v> </v>
      </c>
      <c r="N4" s="220" t="str">
        <f t="shared" si="0"/>
        <v> </v>
      </c>
      <c r="O4" s="220" t="str">
        <f t="shared" si="0"/>
        <v> </v>
      </c>
      <c r="P4" s="220">
        <f t="shared" si="0"/>
      </c>
      <c r="Q4" s="222" t="str">
        <f t="shared" si="0"/>
        <v> </v>
      </c>
      <c r="R4" s="222" t="str">
        <f t="shared" si="0"/>
        <v> </v>
      </c>
      <c r="S4" s="222">
        <f t="shared" si="0"/>
      </c>
      <c r="T4" s="222" t="str">
        <f aca="true" t="shared" si="1" ref="T4:AD9">VLOOKUP($A4,Format_1_Table,T$3,FALSE)</f>
        <v> </v>
      </c>
      <c r="U4" s="222" t="str">
        <f t="shared" si="1"/>
        <v> </v>
      </c>
      <c r="V4" s="222" t="str">
        <f t="shared" si="1"/>
        <v> </v>
      </c>
      <c r="W4" s="222" t="str">
        <f t="shared" si="1"/>
        <v> </v>
      </c>
      <c r="X4" s="222" t="str">
        <f t="shared" si="1"/>
        <v> </v>
      </c>
      <c r="Y4" s="222" t="str">
        <f t="shared" si="1"/>
        <v> </v>
      </c>
      <c r="Z4" s="222" t="str">
        <f t="shared" si="1"/>
        <v> </v>
      </c>
      <c r="AA4" s="222" t="str">
        <f t="shared" si="1"/>
        <v> </v>
      </c>
      <c r="AB4" s="222" t="str">
        <f t="shared" si="1"/>
        <v> </v>
      </c>
      <c r="AC4" s="222" t="str">
        <f t="shared" si="1"/>
        <v> </v>
      </c>
      <c r="AD4" s="222" t="str">
        <f t="shared" si="1"/>
        <v> </v>
      </c>
    </row>
    <row r="5" spans="1:30" s="130" customFormat="1" ht="12">
      <c r="A5" s="130" t="s">
        <v>644</v>
      </c>
      <c r="B5" s="220" t="str">
        <f aca="true" t="shared" si="2" ref="B5:K7">VLOOKUP($A5,Format_1_Table,B$3,FALSE)</f>
        <v>LDCDUNS##</v>
      </c>
      <c r="C5" s="220" t="str">
        <f t="shared" si="2"/>
        <v>SUPDUNS##</v>
      </c>
      <c r="D5" s="221">
        <f t="shared" si="2"/>
        <v>35979</v>
      </c>
      <c r="E5" s="220" t="str">
        <f t="shared" si="2"/>
        <v> </v>
      </c>
      <c r="F5" s="220" t="str">
        <f t="shared" si="2"/>
        <v>D</v>
      </c>
      <c r="G5" s="220" t="str">
        <f t="shared" si="2"/>
        <v>S0000000000001</v>
      </c>
      <c r="H5" s="220" t="str">
        <f t="shared" si="2"/>
        <v>D0000000000001</v>
      </c>
      <c r="I5" s="220" t="str">
        <f t="shared" si="2"/>
        <v>JOHN</v>
      </c>
      <c r="J5" s="220">
        <f t="shared" si="2"/>
      </c>
      <c r="K5" s="220" t="str">
        <f t="shared" si="2"/>
        <v> </v>
      </c>
      <c r="L5" s="220" t="str">
        <f aca="true" t="shared" si="3" ref="L5:P7">VLOOKUP($A5,Format_1_Table,L$3,FALSE)</f>
        <v> </v>
      </c>
      <c r="M5" s="220" t="str">
        <f t="shared" si="3"/>
        <v> </v>
      </c>
      <c r="N5" s="220" t="str">
        <f t="shared" si="3"/>
        <v> </v>
      </c>
      <c r="O5" s="220" t="str">
        <f t="shared" si="3"/>
        <v> </v>
      </c>
      <c r="P5" s="220">
        <f t="shared" si="3"/>
      </c>
      <c r="Q5" s="222" t="str">
        <f aca="true" t="shared" si="4" ref="Q5:S9">VLOOKUP($A5,Format_1_Table,Q$3,FALSE)</f>
        <v> </v>
      </c>
      <c r="R5" s="222" t="str">
        <f t="shared" si="4"/>
        <v> </v>
      </c>
      <c r="S5" s="222">
        <f t="shared" si="4"/>
      </c>
      <c r="T5" s="222">
        <f t="shared" si="1"/>
      </c>
      <c r="U5" s="222" t="str">
        <f t="shared" si="1"/>
        <v> </v>
      </c>
      <c r="V5" s="222" t="str">
        <f t="shared" si="1"/>
        <v> </v>
      </c>
      <c r="W5" s="222" t="str">
        <f t="shared" si="1"/>
        <v> </v>
      </c>
      <c r="X5" s="222" t="str">
        <f t="shared" si="1"/>
        <v> </v>
      </c>
      <c r="Y5" s="222" t="str">
        <f t="shared" si="1"/>
        <v> </v>
      </c>
      <c r="Z5" s="222" t="str">
        <f t="shared" si="1"/>
        <v> </v>
      </c>
      <c r="AA5" s="222" t="str">
        <f t="shared" si="1"/>
        <v> </v>
      </c>
      <c r="AB5" s="222" t="str">
        <f t="shared" si="1"/>
        <v> </v>
      </c>
      <c r="AC5" s="222" t="str">
        <f t="shared" si="1"/>
        <v> </v>
      </c>
      <c r="AD5" s="222" t="str">
        <f t="shared" si="1"/>
        <v> </v>
      </c>
    </row>
    <row r="6" spans="1:30" s="130" customFormat="1" ht="12">
      <c r="A6" s="130" t="s">
        <v>645</v>
      </c>
      <c r="B6" s="220" t="str">
        <f t="shared" si="2"/>
        <v>LDCDUNS##</v>
      </c>
      <c r="C6" s="220" t="str">
        <f t="shared" si="2"/>
        <v>SUPDUNS##</v>
      </c>
      <c r="D6" s="221">
        <f t="shared" si="2"/>
        <v>35979</v>
      </c>
      <c r="E6" s="220" t="str">
        <f t="shared" si="2"/>
        <v> </v>
      </c>
      <c r="F6" s="220" t="str">
        <f t="shared" si="2"/>
        <v>C</v>
      </c>
      <c r="G6" s="220" t="str">
        <f t="shared" si="2"/>
        <v>S0000000000004</v>
      </c>
      <c r="H6" s="220" t="str">
        <f t="shared" si="2"/>
        <v>D0000000000003</v>
      </c>
      <c r="I6" s="220" t="str">
        <f t="shared" si="2"/>
        <v>ADAM</v>
      </c>
      <c r="J6" s="220">
        <f t="shared" si="2"/>
      </c>
      <c r="K6" s="220" t="str">
        <f t="shared" si="2"/>
        <v> </v>
      </c>
      <c r="L6" s="220" t="str">
        <f t="shared" si="3"/>
        <v> </v>
      </c>
      <c r="M6" s="220" t="str">
        <f t="shared" si="3"/>
        <v>R01</v>
      </c>
      <c r="N6" s="220" t="str">
        <f t="shared" si="3"/>
        <v>R000002</v>
      </c>
      <c r="O6" s="220" t="str">
        <f t="shared" si="3"/>
        <v>E</v>
      </c>
      <c r="P6" s="220" t="str">
        <f t="shared" si="3"/>
        <v>M000000003</v>
      </c>
      <c r="Q6" s="222" t="str">
        <f t="shared" si="4"/>
        <v> </v>
      </c>
      <c r="R6" s="222" t="str">
        <f t="shared" si="4"/>
        <v> </v>
      </c>
      <c r="S6" s="222">
        <f t="shared" si="4"/>
      </c>
      <c r="T6" s="222">
        <f t="shared" si="1"/>
      </c>
      <c r="U6" s="222" t="str">
        <f t="shared" si="1"/>
        <v> </v>
      </c>
      <c r="V6" s="222" t="str">
        <f t="shared" si="1"/>
        <v> </v>
      </c>
      <c r="W6" s="222" t="str">
        <f t="shared" si="1"/>
        <v> </v>
      </c>
      <c r="X6" s="222" t="str">
        <f t="shared" si="1"/>
        <v> </v>
      </c>
      <c r="Y6" s="222" t="str">
        <f t="shared" si="1"/>
        <v> </v>
      </c>
      <c r="Z6" s="222" t="str">
        <f t="shared" si="1"/>
        <v> </v>
      </c>
      <c r="AA6" s="222" t="str">
        <f t="shared" si="1"/>
        <v> </v>
      </c>
      <c r="AB6" s="222" t="str">
        <f t="shared" si="1"/>
        <v> </v>
      </c>
      <c r="AC6" s="222" t="str">
        <f t="shared" si="1"/>
        <v> </v>
      </c>
      <c r="AD6" s="222" t="str">
        <f t="shared" si="1"/>
        <v> </v>
      </c>
    </row>
    <row r="7" spans="1:30" s="130" customFormat="1" ht="12">
      <c r="A7" s="130" t="s">
        <v>646</v>
      </c>
      <c r="B7" s="220" t="str">
        <f t="shared" si="2"/>
        <v>LDCDUNS##</v>
      </c>
      <c r="C7" s="220" t="str">
        <f t="shared" si="2"/>
        <v>SUPDUNS##</v>
      </c>
      <c r="D7" s="221">
        <f t="shared" si="2"/>
        <v>35979</v>
      </c>
      <c r="E7" s="220" t="str">
        <f t="shared" si="2"/>
        <v> </v>
      </c>
      <c r="F7" s="220" t="str">
        <f t="shared" si="2"/>
        <v>D</v>
      </c>
      <c r="G7" s="220" t="str">
        <f t="shared" si="2"/>
        <v>S0000000000008</v>
      </c>
      <c r="H7" s="220" t="str">
        <f t="shared" si="2"/>
        <v>D0000000000008</v>
      </c>
      <c r="I7" s="220" t="str">
        <f t="shared" si="2"/>
        <v>SAND</v>
      </c>
      <c r="J7" s="220">
        <f t="shared" si="2"/>
      </c>
      <c r="K7" s="220" t="str">
        <f t="shared" si="2"/>
        <v> </v>
      </c>
      <c r="L7" s="220" t="str">
        <f t="shared" si="3"/>
        <v> </v>
      </c>
      <c r="M7" s="220" t="str">
        <f t="shared" si="3"/>
        <v> </v>
      </c>
      <c r="N7" s="220" t="str">
        <f t="shared" si="3"/>
        <v> </v>
      </c>
      <c r="O7" s="220" t="str">
        <f t="shared" si="3"/>
        <v> </v>
      </c>
      <c r="P7" s="220">
        <f t="shared" si="3"/>
      </c>
      <c r="Q7" s="222" t="str">
        <f t="shared" si="4"/>
        <v> </v>
      </c>
      <c r="R7" s="222" t="str">
        <f t="shared" si="4"/>
        <v> </v>
      </c>
      <c r="S7" s="222">
        <f t="shared" si="4"/>
      </c>
      <c r="T7" s="222" t="str">
        <f t="shared" si="1"/>
        <v> </v>
      </c>
      <c r="U7" s="222" t="str">
        <f t="shared" si="1"/>
        <v> </v>
      </c>
      <c r="V7" s="222" t="str">
        <f t="shared" si="1"/>
        <v> </v>
      </c>
      <c r="W7" s="222" t="str">
        <f t="shared" si="1"/>
        <v> </v>
      </c>
      <c r="X7" s="222" t="str">
        <f t="shared" si="1"/>
        <v> </v>
      </c>
      <c r="Y7" s="222" t="str">
        <f t="shared" si="1"/>
        <v> </v>
      </c>
      <c r="Z7" s="222" t="str">
        <f t="shared" si="1"/>
        <v> </v>
      </c>
      <c r="AA7" s="222" t="str">
        <f t="shared" si="1"/>
        <v> </v>
      </c>
      <c r="AB7" s="222" t="str">
        <f t="shared" si="1"/>
        <v> </v>
      </c>
      <c r="AC7" s="222" t="str">
        <f t="shared" si="1"/>
        <v> </v>
      </c>
      <c r="AD7" s="222" t="str">
        <f t="shared" si="1"/>
        <v> </v>
      </c>
    </row>
    <row r="8" spans="1:30" s="130" customFormat="1" ht="12">
      <c r="A8" s="130" t="s">
        <v>647</v>
      </c>
      <c r="B8" s="220" t="str">
        <f aca="true" t="shared" si="5" ref="B8:K9">VLOOKUP($A8,Format_1_Table,B$3,FALSE)</f>
        <v>LDCDUNS##</v>
      </c>
      <c r="C8" s="220" t="str">
        <f t="shared" si="5"/>
        <v>SUPDUNS##</v>
      </c>
      <c r="D8" s="221">
        <f t="shared" si="5"/>
        <v>35979</v>
      </c>
      <c r="E8" s="220" t="str">
        <f t="shared" si="5"/>
        <v> </v>
      </c>
      <c r="F8" s="220" t="str">
        <f t="shared" si="5"/>
        <v>E</v>
      </c>
      <c r="G8" s="220" t="str">
        <f t="shared" si="5"/>
        <v>S0000000000002</v>
      </c>
      <c r="H8" s="220" t="str">
        <f t="shared" si="5"/>
        <v>D0000000000002</v>
      </c>
      <c r="I8" s="220" t="str">
        <f t="shared" si="5"/>
        <v>SMIT</v>
      </c>
      <c r="J8" s="220">
        <f t="shared" si="5"/>
      </c>
      <c r="K8" s="220" t="str">
        <f t="shared" si="5"/>
        <v>P</v>
      </c>
      <c r="L8" s="220" t="str">
        <f aca="true" t="shared" si="6" ref="L8:P9">VLOOKUP($A8,Format_1_Table,L$3,FALSE)</f>
        <v> </v>
      </c>
      <c r="M8" s="220" t="str">
        <f t="shared" si="6"/>
        <v> </v>
      </c>
      <c r="N8" s="220" t="str">
        <f t="shared" si="6"/>
        <v> </v>
      </c>
      <c r="O8" s="220" t="str">
        <f t="shared" si="6"/>
        <v>A</v>
      </c>
      <c r="P8" s="220">
        <f t="shared" si="6"/>
      </c>
      <c r="Q8" s="222" t="str">
        <f t="shared" si="4"/>
        <v> </v>
      </c>
      <c r="R8" s="222" t="str">
        <f t="shared" si="4"/>
        <v> </v>
      </c>
      <c r="S8" s="222">
        <f t="shared" si="4"/>
      </c>
      <c r="T8" s="222">
        <f t="shared" si="1"/>
      </c>
      <c r="U8" s="222" t="str">
        <f t="shared" si="1"/>
        <v> </v>
      </c>
      <c r="V8" s="222" t="str">
        <f t="shared" si="1"/>
        <v> </v>
      </c>
      <c r="W8" s="222" t="str">
        <f t="shared" si="1"/>
        <v> </v>
      </c>
      <c r="X8" s="222" t="str">
        <f t="shared" si="1"/>
        <v> </v>
      </c>
      <c r="Y8" s="222" t="str">
        <f t="shared" si="1"/>
        <v> </v>
      </c>
      <c r="Z8" s="222" t="str">
        <f t="shared" si="1"/>
        <v> </v>
      </c>
      <c r="AA8" s="222" t="str">
        <f t="shared" si="1"/>
        <v> </v>
      </c>
      <c r="AB8" s="222" t="str">
        <f t="shared" si="1"/>
        <v> </v>
      </c>
      <c r="AC8" s="222" t="str">
        <f t="shared" si="1"/>
        <v> </v>
      </c>
      <c r="AD8" s="222" t="str">
        <f t="shared" si="1"/>
        <v> </v>
      </c>
    </row>
    <row r="9" spans="1:30" s="130" customFormat="1" ht="12">
      <c r="A9" s="130" t="s">
        <v>648</v>
      </c>
      <c r="B9" s="220" t="str">
        <f t="shared" si="5"/>
        <v>LDCDUNS##</v>
      </c>
      <c r="C9" s="220" t="str">
        <f t="shared" si="5"/>
        <v>SUPDUNS##</v>
      </c>
      <c r="D9" s="221">
        <f t="shared" si="5"/>
        <v>35979</v>
      </c>
      <c r="E9" s="220" t="str">
        <f t="shared" si="5"/>
        <v> </v>
      </c>
      <c r="F9" s="220" t="str">
        <f t="shared" si="5"/>
        <v>D</v>
      </c>
      <c r="G9" s="220" t="str">
        <f t="shared" si="5"/>
        <v>S0000000000007</v>
      </c>
      <c r="H9" s="220" t="str">
        <f t="shared" si="5"/>
        <v>D0000000000006</v>
      </c>
      <c r="I9" s="220" t="str">
        <f t="shared" si="5"/>
        <v>ZURC</v>
      </c>
      <c r="J9" s="220">
        <f t="shared" si="5"/>
      </c>
      <c r="K9" s="220" t="str">
        <f t="shared" si="5"/>
        <v> </v>
      </c>
      <c r="L9" s="220" t="str">
        <f t="shared" si="6"/>
        <v> </v>
      </c>
      <c r="M9" s="220" t="str">
        <f t="shared" si="6"/>
        <v> </v>
      </c>
      <c r="N9" s="220" t="str">
        <f t="shared" si="6"/>
        <v> </v>
      </c>
      <c r="O9" s="220" t="str">
        <f t="shared" si="6"/>
        <v> </v>
      </c>
      <c r="P9" s="220">
        <f t="shared" si="6"/>
      </c>
      <c r="Q9" s="222" t="str">
        <f t="shared" si="4"/>
        <v> </v>
      </c>
      <c r="R9" s="222" t="str">
        <f t="shared" si="4"/>
        <v> </v>
      </c>
      <c r="S9" s="222">
        <f t="shared" si="4"/>
      </c>
      <c r="T9" s="222">
        <f t="shared" si="1"/>
      </c>
      <c r="U9" s="222" t="str">
        <f t="shared" si="1"/>
        <v> </v>
      </c>
      <c r="V9" s="222" t="str">
        <f t="shared" si="1"/>
        <v> </v>
      </c>
      <c r="W9" s="222" t="str">
        <f t="shared" si="1"/>
        <v> </v>
      </c>
      <c r="X9" s="222" t="str">
        <f t="shared" si="1"/>
        <v> </v>
      </c>
      <c r="Y9" s="222" t="str">
        <f t="shared" si="1"/>
        <v> </v>
      </c>
      <c r="Z9" s="222" t="str">
        <f t="shared" si="1"/>
        <v> </v>
      </c>
      <c r="AA9" s="222" t="str">
        <f t="shared" si="1"/>
        <v> </v>
      </c>
      <c r="AB9" s="222" t="str">
        <f t="shared" si="1"/>
        <v> </v>
      </c>
      <c r="AC9" s="222" t="str">
        <f t="shared" si="1"/>
        <v> </v>
      </c>
      <c r="AD9" s="222" t="str">
        <f t="shared" si="1"/>
        <v> </v>
      </c>
    </row>
    <row r="10" spans="4:9" s="121" customFormat="1" ht="12.75">
      <c r="D10" s="131"/>
      <c r="E10" s="131"/>
      <c r="F10" s="131"/>
      <c r="G10" s="131"/>
      <c r="H10" s="131"/>
      <c r="I10" s="131"/>
    </row>
    <row r="13" ht="15.75">
      <c r="B13" s="219" t="s">
        <v>649</v>
      </c>
    </row>
    <row r="14" spans="1:54" s="208" customFormat="1" ht="12.75" hidden="1">
      <c r="A14" s="138" t="s">
        <v>618</v>
      </c>
      <c r="B14" s="208">
        <v>1</v>
      </c>
      <c r="C14" s="208">
        <v>2</v>
      </c>
      <c r="D14" s="208">
        <v>3</v>
      </c>
      <c r="E14" s="208">
        <v>4</v>
      </c>
      <c r="F14" s="208">
        <v>5</v>
      </c>
      <c r="G14" s="208">
        <v>6</v>
      </c>
      <c r="H14" s="208">
        <v>7</v>
      </c>
      <c r="I14" s="208">
        <v>8</v>
      </c>
      <c r="J14" s="208">
        <v>9</v>
      </c>
      <c r="K14" s="208">
        <v>10</v>
      </c>
      <c r="L14" s="208">
        <v>11</v>
      </c>
      <c r="M14" s="208">
        <v>12</v>
      </c>
      <c r="N14" s="208">
        <v>13</v>
      </c>
      <c r="O14" s="208">
        <v>14</v>
      </c>
      <c r="P14" s="208">
        <v>15</v>
      </c>
      <c r="Q14" s="208">
        <v>16</v>
      </c>
      <c r="R14" s="208">
        <v>17</v>
      </c>
      <c r="S14" s="208">
        <v>18</v>
      </c>
      <c r="T14" s="208">
        <v>19</v>
      </c>
      <c r="U14" s="208">
        <v>20</v>
      </c>
      <c r="V14" s="208">
        <v>21</v>
      </c>
      <c r="W14" s="208">
        <v>22</v>
      </c>
      <c r="X14" s="208">
        <v>23</v>
      </c>
      <c r="Y14" s="208">
        <v>24</v>
      </c>
      <c r="Z14" s="208">
        <v>25</v>
      </c>
      <c r="AA14" s="208">
        <v>26</v>
      </c>
      <c r="AB14" s="208">
        <v>27</v>
      </c>
      <c r="AC14" s="208">
        <v>28</v>
      </c>
      <c r="AD14" s="208">
        <v>29</v>
      </c>
      <c r="AE14" s="208">
        <v>30</v>
      </c>
      <c r="AF14" s="208">
        <v>31</v>
      </c>
      <c r="AG14" s="208">
        <v>32</v>
      </c>
      <c r="AH14" s="208">
        <v>33</v>
      </c>
      <c r="AI14" s="208">
        <v>34</v>
      </c>
      <c r="AJ14" s="208">
        <v>35</v>
      </c>
      <c r="AK14" s="208">
        <v>36</v>
      </c>
      <c r="AL14" s="208">
        <v>37</v>
      </c>
      <c r="AM14" s="208">
        <v>38</v>
      </c>
      <c r="AN14" s="208">
        <v>39</v>
      </c>
      <c r="AO14" s="208">
        <v>40</v>
      </c>
      <c r="AP14" s="208">
        <v>41</v>
      </c>
      <c r="AQ14" s="208">
        <v>42</v>
      </c>
      <c r="AR14" s="208">
        <v>43</v>
      </c>
      <c r="AS14" s="208">
        <v>44</v>
      </c>
      <c r="AT14" s="208">
        <v>45</v>
      </c>
      <c r="AU14" s="208">
        <v>46</v>
      </c>
      <c r="AV14" s="208">
        <v>47</v>
      </c>
      <c r="AW14" s="208">
        <v>48</v>
      </c>
      <c r="AX14" s="208">
        <v>49</v>
      </c>
      <c r="AY14" s="208">
        <v>50</v>
      </c>
      <c r="AZ14" s="208">
        <v>51</v>
      </c>
      <c r="BA14" s="208">
        <v>52</v>
      </c>
      <c r="BB14" s="208">
        <v>53</v>
      </c>
    </row>
    <row r="15" spans="1:54" s="207" customFormat="1" ht="12.75" hidden="1">
      <c r="A15" s="209" t="s">
        <v>619</v>
      </c>
      <c r="B15" s="207">
        <v>7</v>
      </c>
      <c r="C15" s="207">
        <v>8</v>
      </c>
      <c r="D15" s="207">
        <v>9</v>
      </c>
      <c r="E15" s="207">
        <v>10</v>
      </c>
      <c r="G15" s="207">
        <v>11</v>
      </c>
      <c r="H15" s="207">
        <v>12</v>
      </c>
      <c r="I15" s="207" t="s">
        <v>650</v>
      </c>
      <c r="J15" s="207" t="s">
        <v>650</v>
      </c>
      <c r="K15" s="207" t="s">
        <v>650</v>
      </c>
      <c r="L15" s="207" t="s">
        <v>650</v>
      </c>
      <c r="M15" s="207" t="s">
        <v>650</v>
      </c>
      <c r="N15" s="207" t="s">
        <v>650</v>
      </c>
      <c r="O15" s="207" t="s">
        <v>650</v>
      </c>
      <c r="P15" s="207" t="s">
        <v>650</v>
      </c>
      <c r="Q15" s="207" t="s">
        <v>650</v>
      </c>
      <c r="R15" s="207" t="s">
        <v>650</v>
      </c>
      <c r="S15" s="207" t="s">
        <v>650</v>
      </c>
      <c r="T15" s="207" t="s">
        <v>650</v>
      </c>
      <c r="U15" s="207" t="s">
        <v>650</v>
      </c>
      <c r="V15" s="207" t="s">
        <v>650</v>
      </c>
      <c r="W15" s="207" t="s">
        <v>650</v>
      </c>
      <c r="X15" s="207" t="s">
        <v>650</v>
      </c>
      <c r="Y15" s="207" t="s">
        <v>650</v>
      </c>
      <c r="Z15" s="207" t="s">
        <v>650</v>
      </c>
      <c r="AA15" s="207" t="s">
        <v>650</v>
      </c>
      <c r="AB15" s="207" t="s">
        <v>650</v>
      </c>
      <c r="AC15" s="207" t="s">
        <v>650</v>
      </c>
      <c r="AD15" s="207" t="s">
        <v>650</v>
      </c>
      <c r="AE15" s="207" t="s">
        <v>650</v>
      </c>
      <c r="AF15" s="207" t="s">
        <v>650</v>
      </c>
      <c r="AG15" s="207" t="s">
        <v>650</v>
      </c>
      <c r="AH15" s="207" t="s">
        <v>650</v>
      </c>
      <c r="AI15" s="207" t="s">
        <v>650</v>
      </c>
      <c r="AJ15" s="207" t="s">
        <v>650</v>
      </c>
      <c r="AK15" s="207" t="s">
        <v>650</v>
      </c>
      <c r="AL15" s="207" t="s">
        <v>650</v>
      </c>
      <c r="AM15" s="207" t="s">
        <v>650</v>
      </c>
      <c r="AN15" s="207" t="s">
        <v>650</v>
      </c>
      <c r="AO15" s="207">
        <v>13</v>
      </c>
      <c r="AP15" s="207">
        <v>14</v>
      </c>
      <c r="AQ15" s="207">
        <v>15</v>
      </c>
      <c r="AR15" s="207">
        <v>16</v>
      </c>
      <c r="AS15" s="207">
        <v>17</v>
      </c>
      <c r="AT15" s="207">
        <v>18</v>
      </c>
      <c r="AU15" s="207">
        <v>19</v>
      </c>
      <c r="AV15" s="207">
        <v>20</v>
      </c>
      <c r="AW15" s="207">
        <v>21</v>
      </c>
      <c r="AX15" s="207">
        <v>22</v>
      </c>
      <c r="AY15" s="207">
        <v>23</v>
      </c>
      <c r="AZ15" s="207">
        <v>24</v>
      </c>
      <c r="BA15" s="207">
        <v>25</v>
      </c>
      <c r="BB15" s="207">
        <v>26</v>
      </c>
    </row>
    <row r="16" spans="1:54" s="130" customFormat="1" ht="12">
      <c r="A16" s="130" t="s">
        <v>651</v>
      </c>
      <c r="B16" s="220" t="str">
        <f>VLOOKUP($A16,Format_5_Table,B$15,FALSE)</f>
        <v>LDCDUNS##</v>
      </c>
      <c r="C16" s="220" t="str">
        <f aca="true" t="shared" si="7" ref="C16:H16">VLOOKUP($A16,Format_5_Table,C$15,FALSE)</f>
        <v>SUPDUNS##</v>
      </c>
      <c r="D16" s="221">
        <f t="shared" si="7"/>
        <v>35979</v>
      </c>
      <c r="E16" s="220" t="str">
        <f t="shared" si="7"/>
        <v> </v>
      </c>
      <c r="F16" s="220" t="s">
        <v>216</v>
      </c>
      <c r="G16" s="220" t="str">
        <f t="shared" si="7"/>
        <v>S0000000000022</v>
      </c>
      <c r="H16" s="220" t="str">
        <f t="shared" si="7"/>
        <v>D0000000000022</v>
      </c>
      <c r="I16" s="220" t="s">
        <v>216</v>
      </c>
      <c r="J16" s="220" t="s">
        <v>216</v>
      </c>
      <c r="K16" s="220" t="s">
        <v>216</v>
      </c>
      <c r="L16" s="220" t="s">
        <v>216</v>
      </c>
      <c r="M16" s="220" t="s">
        <v>216</v>
      </c>
      <c r="N16" s="220" t="s">
        <v>216</v>
      </c>
      <c r="O16" s="220" t="s">
        <v>216</v>
      </c>
      <c r="P16" s="220" t="s">
        <v>216</v>
      </c>
      <c r="Q16" s="220" t="s">
        <v>216</v>
      </c>
      <c r="R16" s="220" t="s">
        <v>216</v>
      </c>
      <c r="S16" s="220" t="s">
        <v>216</v>
      </c>
      <c r="T16" s="220" t="s">
        <v>216</v>
      </c>
      <c r="U16" s="220" t="s">
        <v>216</v>
      </c>
      <c r="V16" s="220" t="s">
        <v>216</v>
      </c>
      <c r="W16" s="220" t="s">
        <v>216</v>
      </c>
      <c r="X16" s="220" t="s">
        <v>216</v>
      </c>
      <c r="Y16" s="220" t="s">
        <v>216</v>
      </c>
      <c r="Z16" s="220" t="s">
        <v>216</v>
      </c>
      <c r="AA16" s="220" t="s">
        <v>216</v>
      </c>
      <c r="AB16" s="220" t="s">
        <v>216</v>
      </c>
      <c r="AC16" s="220" t="s">
        <v>216</v>
      </c>
      <c r="AD16" s="220" t="s">
        <v>216</v>
      </c>
      <c r="AE16" s="220" t="s">
        <v>216</v>
      </c>
      <c r="AF16" s="220" t="s">
        <v>216</v>
      </c>
      <c r="AG16" s="220" t="s">
        <v>216</v>
      </c>
      <c r="AH16" s="220" t="s">
        <v>216</v>
      </c>
      <c r="AI16" s="220" t="s">
        <v>216</v>
      </c>
      <c r="AJ16" s="220" t="s">
        <v>216</v>
      </c>
      <c r="AK16" s="220" t="s">
        <v>216</v>
      </c>
      <c r="AL16" s="220" t="s">
        <v>216</v>
      </c>
      <c r="AM16" s="220" t="s">
        <v>216</v>
      </c>
      <c r="AN16" s="220" t="s">
        <v>216</v>
      </c>
      <c r="AO16" s="220" t="str">
        <f aca="true" t="shared" si="8" ref="AO16:AX16">VLOOKUP($A16,Format_5_Table,AO$15,FALSE)</f>
        <v>ASTO</v>
      </c>
      <c r="AP16" s="221">
        <f t="shared" si="8"/>
        <v>35863</v>
      </c>
      <c r="AQ16" s="221">
        <f t="shared" si="8"/>
        <v>35893</v>
      </c>
      <c r="AR16" s="220">
        <f t="shared" si="8"/>
        <v>3000</v>
      </c>
      <c r="AS16" s="223">
        <f t="shared" si="8"/>
        <v>60</v>
      </c>
      <c r="AT16" s="221">
        <f t="shared" si="8"/>
        <v>35893</v>
      </c>
      <c r="AU16" s="221">
        <f t="shared" si="8"/>
        <v>35923</v>
      </c>
      <c r="AV16" s="220">
        <f t="shared" si="8"/>
        <v>1000</v>
      </c>
      <c r="AW16" s="223">
        <f t="shared" si="8"/>
        <v>30</v>
      </c>
      <c r="AX16" s="221">
        <f t="shared" si="8"/>
        <v>35923</v>
      </c>
      <c r="AY16" s="221">
        <f>VLOOKUP($A16,Format_5_Table,AY$15,FALSE)</f>
        <v>35953</v>
      </c>
      <c r="AZ16" s="222">
        <f>VLOOKUP($A16,Format_5_Table,AZ$15,FALSE)</f>
        <v>1000</v>
      </c>
      <c r="BA16" s="223">
        <f>VLOOKUP($A16,Format_5_Table,BA$15,FALSE)</f>
        <v>40</v>
      </c>
      <c r="BB16" s="223">
        <f>VLOOKUP($A16,Format_5_Table,BB$15,FALSE)</f>
        <v>0</v>
      </c>
    </row>
    <row r="17" spans="2:3" ht="12.75">
      <c r="B17" s="121"/>
      <c r="C17" s="121"/>
    </row>
  </sheetData>
  <printOptions/>
  <pageMargins left="0.75" right="0.75" top="1" bottom="1" header="0.5" footer="0.5"/>
  <pageSetup fitToHeight="3" horizontalDpi="600" verticalDpi="600" orientation="landscape" scale="45" r:id="rId1"/>
  <headerFooter alignWithMargins="0">
    <oddHeader>&amp;CEBT Test Conditions
&amp;A</oddHeader>
    <oddFooter>&amp;LVersion 5.0&amp;CPage &amp;P&amp;RIssued:  June 25, 1999
</oddFooter>
  </headerFooter>
</worksheet>
</file>

<file path=xl/worksheets/sheet14.xml><?xml version="1.0" encoding="utf-8"?>
<worksheet xmlns="http://schemas.openxmlformats.org/spreadsheetml/2006/main" xmlns:r="http://schemas.openxmlformats.org/officeDocument/2006/relationships">
  <dimension ref="A1:BS36"/>
  <sheetViews>
    <sheetView zoomScale="75" zoomScaleNormal="75" workbookViewId="0" topLeftCell="B1">
      <selection activeCell="D7" sqref="D7"/>
      <selection activeCell="Q6" sqref="Q6"/>
    </sheetView>
  </sheetViews>
  <sheetFormatPr defaultColWidth="9.140625" defaultRowHeight="12.75"/>
  <cols>
    <col min="1" max="1" width="12.140625" style="130" hidden="1" customWidth="1"/>
    <col min="2" max="2" width="11.00390625" style="130" customWidth="1"/>
    <col min="3" max="3" width="14.8515625" style="130" customWidth="1"/>
    <col min="4" max="4" width="11.00390625" style="130" customWidth="1"/>
    <col min="5" max="6" width="4.57421875" style="130" customWidth="1"/>
    <col min="7" max="7" width="14.57421875" style="130" customWidth="1"/>
    <col min="8" max="8" width="14.8515625" style="130" customWidth="1"/>
    <col min="9" max="9" width="6.28125" style="130" customWidth="1"/>
    <col min="10" max="10" width="8.8515625" style="130" customWidth="1"/>
    <col min="11" max="11" width="11.421875" style="130" customWidth="1"/>
    <col min="12" max="13" width="4.57421875" style="130" customWidth="1"/>
    <col min="14" max="14" width="8.140625" style="130" customWidth="1"/>
    <col min="15" max="15" width="4.57421875" style="130" customWidth="1"/>
    <col min="16" max="16" width="11.421875" style="130" customWidth="1"/>
    <col min="17" max="17" width="8.8515625" style="130" customWidth="1"/>
    <col min="18" max="18" width="7.7109375" style="130" customWidth="1"/>
    <col min="19" max="19" width="4.57421875" style="130" customWidth="1"/>
    <col min="20" max="20" width="6.00390625" style="130" customWidth="1"/>
    <col min="21" max="21" width="4.57421875" style="130" customWidth="1"/>
    <col min="22" max="23" width="8.8515625" style="130" customWidth="1"/>
    <col min="24" max="24" width="15.57421875" style="130" customWidth="1"/>
    <col min="25" max="25" width="6.8515625" style="130" customWidth="1"/>
    <col min="26" max="26" width="9.421875" style="130" customWidth="1"/>
    <col min="27" max="27" width="4.57421875" style="130" customWidth="1"/>
    <col min="28" max="29" width="8.8515625" style="130" customWidth="1"/>
    <col min="30" max="31" width="4.57421875" style="130" customWidth="1"/>
    <col min="32" max="32" width="6.00390625" style="130" customWidth="1"/>
    <col min="33" max="33" width="4.57421875" style="130" customWidth="1"/>
    <col min="34" max="35" width="8.8515625" style="130" customWidth="1"/>
    <col min="36" max="37" width="4.57421875" style="130" customWidth="1"/>
    <col min="38" max="38" width="6.00390625" style="130" customWidth="1"/>
    <col min="39" max="39" width="4.57421875" style="130" customWidth="1"/>
    <col min="40" max="41" width="8.8515625" style="130" customWidth="1"/>
    <col min="42" max="43" width="4.57421875" style="130" customWidth="1"/>
    <col min="44" max="44" width="6.00390625" style="130" customWidth="1"/>
    <col min="45" max="45" width="4.57421875" style="130" customWidth="1"/>
    <col min="46" max="47" width="8.8515625" style="130" customWidth="1"/>
    <col min="48" max="49" width="4.57421875" style="130" customWidth="1"/>
    <col min="50" max="50" width="6.00390625" style="130" customWidth="1"/>
    <col min="51" max="51" width="4.57421875" style="130" customWidth="1"/>
    <col min="52" max="53" width="8.8515625" style="130" customWidth="1"/>
    <col min="54" max="55" width="4.57421875" style="130" customWidth="1"/>
    <col min="56" max="56" width="6.00390625" style="130" customWidth="1"/>
    <col min="57" max="57" width="4.57421875" style="130" customWidth="1"/>
    <col min="58" max="59" width="8.8515625" style="130" customWidth="1"/>
    <col min="60" max="61" width="4.57421875" style="130" customWidth="1"/>
    <col min="62" max="62" width="6.00390625" style="130" customWidth="1"/>
    <col min="63" max="63" width="4.57421875" style="130" customWidth="1"/>
    <col min="64" max="65" width="8.8515625" style="130" customWidth="1"/>
    <col min="66" max="67" width="4.57421875" style="130" customWidth="1"/>
    <col min="68" max="68" width="6.00390625" style="130" customWidth="1"/>
    <col min="69" max="69" width="4.57421875" style="130" customWidth="1"/>
    <col min="70" max="71" width="8.8515625" style="130" customWidth="1"/>
    <col min="72" max="16384" width="13.00390625" style="130" customWidth="1"/>
  </cols>
  <sheetData>
    <row r="1" ht="15.75">
      <c r="B1" s="219" t="s">
        <v>617</v>
      </c>
    </row>
    <row r="2" spans="1:30" s="210" customFormat="1" ht="11.25" hidden="1">
      <c r="A2" s="136" t="s">
        <v>618</v>
      </c>
      <c r="B2" s="210">
        <v>1</v>
      </c>
      <c r="C2" s="210">
        <v>2</v>
      </c>
      <c r="D2" s="210">
        <v>3</v>
      </c>
      <c r="E2" s="210">
        <v>4</v>
      </c>
      <c r="F2" s="210">
        <v>5</v>
      </c>
      <c r="G2" s="210">
        <v>6</v>
      </c>
      <c r="H2" s="210">
        <v>7</v>
      </c>
      <c r="I2" s="210">
        <v>8</v>
      </c>
      <c r="J2" s="210">
        <v>9</v>
      </c>
      <c r="K2" s="210">
        <v>10</v>
      </c>
      <c r="L2" s="210">
        <v>11</v>
      </c>
      <c r="M2" s="210">
        <v>12</v>
      </c>
      <c r="N2" s="210">
        <v>13</v>
      </c>
      <c r="O2" s="210">
        <v>14</v>
      </c>
      <c r="P2" s="210">
        <v>15</v>
      </c>
      <c r="Q2" s="210">
        <v>16</v>
      </c>
      <c r="R2" s="210">
        <v>17</v>
      </c>
      <c r="S2" s="210">
        <v>18</v>
      </c>
      <c r="T2" s="210">
        <v>19</v>
      </c>
      <c r="U2" s="210">
        <v>20</v>
      </c>
      <c r="V2" s="210">
        <v>21</v>
      </c>
      <c r="W2" s="210">
        <v>22</v>
      </c>
      <c r="X2" s="210">
        <v>23</v>
      </c>
      <c r="Y2" s="210">
        <v>24</v>
      </c>
      <c r="Z2" s="210">
        <v>25</v>
      </c>
      <c r="AA2" s="210">
        <v>26</v>
      </c>
      <c r="AB2" s="210">
        <v>27</v>
      </c>
      <c r="AC2" s="210">
        <v>28</v>
      </c>
      <c r="AD2" s="210">
        <v>29</v>
      </c>
    </row>
    <row r="3" spans="1:30" s="205" customFormat="1" ht="10.5" hidden="1">
      <c r="A3" s="209" t="s">
        <v>619</v>
      </c>
      <c r="B3" s="205">
        <v>7</v>
      </c>
      <c r="C3" s="205">
        <v>8</v>
      </c>
      <c r="D3" s="205">
        <v>9</v>
      </c>
      <c r="E3" s="205">
        <v>11</v>
      </c>
      <c r="F3" s="205">
        <v>10</v>
      </c>
      <c r="G3" s="205">
        <v>12</v>
      </c>
      <c r="H3" s="205">
        <v>13</v>
      </c>
      <c r="I3" s="205">
        <v>14</v>
      </c>
      <c r="J3" s="205">
        <v>15</v>
      </c>
      <c r="K3" s="205">
        <v>16</v>
      </c>
      <c r="L3" s="205">
        <v>17</v>
      </c>
      <c r="M3" s="205">
        <v>18</v>
      </c>
      <c r="N3" s="205">
        <v>19</v>
      </c>
      <c r="O3" s="205">
        <v>20</v>
      </c>
      <c r="P3" s="205">
        <v>21</v>
      </c>
      <c r="Q3" s="205">
        <v>22</v>
      </c>
      <c r="R3" s="205">
        <v>23</v>
      </c>
      <c r="S3" s="205">
        <v>24</v>
      </c>
      <c r="T3" s="205">
        <v>25</v>
      </c>
      <c r="U3" s="205">
        <v>26</v>
      </c>
      <c r="V3" s="205">
        <v>27</v>
      </c>
      <c r="W3" s="205">
        <v>28</v>
      </c>
      <c r="X3" s="205">
        <v>29</v>
      </c>
      <c r="Y3" s="205">
        <v>30</v>
      </c>
      <c r="Z3" s="205">
        <v>31</v>
      </c>
      <c r="AA3" s="205">
        <v>32</v>
      </c>
      <c r="AB3" s="205">
        <v>33</v>
      </c>
      <c r="AC3" s="205">
        <v>34</v>
      </c>
      <c r="AD3" s="205">
        <v>35</v>
      </c>
    </row>
    <row r="4" spans="1:30" ht="12">
      <c r="A4" s="130" t="s">
        <v>652</v>
      </c>
      <c r="B4" s="220" t="str">
        <f>VLOOKUP($A4,Format_1_Table,B$3,FALSE)</f>
        <v>LDCDUNS##</v>
      </c>
      <c r="C4" s="220" t="str">
        <f aca="true" t="shared" si="0" ref="C4:R11">VLOOKUP($A4,Format_1_Table,C$3,FALSE)</f>
        <v>SUPDUNS##</v>
      </c>
      <c r="D4" s="221">
        <f t="shared" si="0"/>
        <v>35979</v>
      </c>
      <c r="E4" s="220" t="str">
        <f t="shared" si="0"/>
        <v> </v>
      </c>
      <c r="F4" s="224" t="str">
        <f t="shared" si="0"/>
        <v>E</v>
      </c>
      <c r="G4" s="220" t="str">
        <f t="shared" si="0"/>
        <v>S0000000000001</v>
      </c>
      <c r="H4" s="220" t="str">
        <f t="shared" si="0"/>
        <v>D0000000000001</v>
      </c>
      <c r="I4" s="220" t="str">
        <f t="shared" si="0"/>
        <v>JOHN</v>
      </c>
      <c r="J4" s="221">
        <f t="shared" si="0"/>
        <v>35982</v>
      </c>
      <c r="K4" s="220" t="str">
        <f t="shared" si="0"/>
        <v>C</v>
      </c>
      <c r="L4" s="220" t="str">
        <f t="shared" si="0"/>
        <v> </v>
      </c>
      <c r="M4" s="220" t="str">
        <f t="shared" si="0"/>
        <v>R01</v>
      </c>
      <c r="N4" s="220" t="str">
        <f t="shared" si="0"/>
        <v>R000001</v>
      </c>
      <c r="O4" s="220" t="str">
        <f t="shared" si="0"/>
        <v>E</v>
      </c>
      <c r="P4" s="220" t="str">
        <f t="shared" si="0"/>
        <v>M000000001</v>
      </c>
      <c r="Q4" s="220">
        <f t="shared" si="0"/>
        <v>100</v>
      </c>
      <c r="R4" s="220">
        <f t="shared" si="0"/>
        <v>0</v>
      </c>
      <c r="S4" s="220">
        <f aca="true" t="shared" si="1" ref="S4:AD11">VLOOKUP($A4,Format_1_Table,S$3,FALSE)</f>
        <v>3</v>
      </c>
      <c r="T4" s="220" t="str">
        <f t="shared" si="1"/>
        <v>N</v>
      </c>
      <c r="U4" s="220" t="str">
        <f t="shared" si="1"/>
        <v> </v>
      </c>
      <c r="V4" s="220" t="str">
        <f t="shared" si="1"/>
        <v> </v>
      </c>
      <c r="W4" s="220" t="str">
        <f t="shared" si="1"/>
        <v> </v>
      </c>
      <c r="X4" s="220" t="str">
        <f t="shared" si="1"/>
        <v>101 MAIN STREET</v>
      </c>
      <c r="Y4" s="220" t="str">
        <f t="shared" si="1"/>
        <v> </v>
      </c>
      <c r="Z4" s="220" t="str">
        <f t="shared" si="1"/>
        <v>TOWN </v>
      </c>
      <c r="AA4" s="220" t="str">
        <f t="shared" si="1"/>
        <v>MA</v>
      </c>
      <c r="AB4" s="220" t="str">
        <f t="shared" si="1"/>
        <v>99999</v>
      </c>
      <c r="AC4" s="220" t="str">
        <f t="shared" si="1"/>
        <v> </v>
      </c>
      <c r="AD4" s="220" t="str">
        <f t="shared" si="1"/>
        <v> </v>
      </c>
    </row>
    <row r="5" spans="1:30" ht="12">
      <c r="A5" s="130" t="s">
        <v>653</v>
      </c>
      <c r="B5" s="220" t="str">
        <f aca="true" t="shared" si="2" ref="B5:B11">VLOOKUP($A5,Format_1_Table,B$3,FALSE)</f>
        <v>LDCDUNS##</v>
      </c>
      <c r="C5" s="220" t="str">
        <f t="shared" si="0"/>
        <v>SUPDUNS##</v>
      </c>
      <c r="D5" s="221">
        <f t="shared" si="0"/>
        <v>35979</v>
      </c>
      <c r="E5" s="220" t="str">
        <f t="shared" si="0"/>
        <v> </v>
      </c>
      <c r="F5" s="224" t="str">
        <f t="shared" si="0"/>
        <v>E</v>
      </c>
      <c r="G5" s="220" t="str">
        <f t="shared" si="0"/>
        <v>S0000000000002</v>
      </c>
      <c r="H5" s="220" t="str">
        <f t="shared" si="0"/>
        <v>D0000000000002</v>
      </c>
      <c r="I5" s="220" t="str">
        <f t="shared" si="0"/>
        <v>SMIT</v>
      </c>
      <c r="J5" s="221">
        <f t="shared" si="0"/>
        <v>36006</v>
      </c>
      <c r="K5" s="220" t="str">
        <f t="shared" si="0"/>
        <v>P</v>
      </c>
      <c r="L5" s="220" t="str">
        <f t="shared" si="0"/>
        <v> </v>
      </c>
      <c r="M5" s="220" t="str">
        <f t="shared" si="0"/>
        <v> </v>
      </c>
      <c r="N5" s="220" t="str">
        <f t="shared" si="0"/>
        <v> </v>
      </c>
      <c r="O5" s="220" t="str">
        <f t="shared" si="0"/>
        <v>E</v>
      </c>
      <c r="P5" s="220" t="str">
        <f t="shared" si="0"/>
        <v>M000000002</v>
      </c>
      <c r="Q5" s="220">
        <f t="shared" si="0"/>
        <v>100</v>
      </c>
      <c r="R5" s="220">
        <f t="shared" si="0"/>
        <v>0</v>
      </c>
      <c r="S5" s="220">
        <f t="shared" si="1"/>
        <v>1</v>
      </c>
      <c r="T5" s="220">
        <f t="shared" si="1"/>
      </c>
      <c r="U5" s="220" t="str">
        <f t="shared" si="1"/>
        <v> </v>
      </c>
      <c r="V5" s="220" t="str">
        <f t="shared" si="1"/>
        <v> </v>
      </c>
      <c r="W5" s="220" t="str">
        <f t="shared" si="1"/>
        <v> </v>
      </c>
      <c r="X5" s="220" t="str">
        <f t="shared" si="1"/>
        <v>504 EAST STREET</v>
      </c>
      <c r="Y5" s="220" t="str">
        <f t="shared" si="1"/>
        <v>APT 27</v>
      </c>
      <c r="Z5" s="220" t="str">
        <f t="shared" si="1"/>
        <v>TOWN </v>
      </c>
      <c r="AA5" s="220" t="str">
        <f t="shared" si="1"/>
        <v>MA</v>
      </c>
      <c r="AB5" s="220" t="str">
        <f t="shared" si="1"/>
        <v>99999</v>
      </c>
      <c r="AC5" s="220" t="str">
        <f t="shared" si="1"/>
        <v> </v>
      </c>
      <c r="AD5" s="220" t="str">
        <f t="shared" si="1"/>
        <v> </v>
      </c>
    </row>
    <row r="6" spans="1:30" ht="12">
      <c r="A6" s="130" t="s">
        <v>654</v>
      </c>
      <c r="B6" s="220" t="str">
        <f t="shared" si="2"/>
        <v>LDCDUNS##</v>
      </c>
      <c r="C6" s="220" t="str">
        <f t="shared" si="0"/>
        <v>SUPDUNS##</v>
      </c>
      <c r="D6" s="221">
        <f t="shared" si="0"/>
        <v>35979</v>
      </c>
      <c r="E6" s="220" t="str">
        <f t="shared" si="0"/>
        <v> </v>
      </c>
      <c r="F6" s="224" t="str">
        <f t="shared" si="0"/>
        <v>X</v>
      </c>
      <c r="G6" s="220" t="str">
        <f t="shared" si="0"/>
        <v>S0000000000003</v>
      </c>
      <c r="H6" s="220" t="str">
        <f t="shared" si="0"/>
        <v>D9999999999999</v>
      </c>
      <c r="I6" s="220" t="str">
        <f t="shared" si="0"/>
        <v>BILL</v>
      </c>
      <c r="J6" s="221">
        <f t="shared" si="0"/>
      </c>
      <c r="K6" s="220" t="str">
        <f t="shared" si="0"/>
        <v> </v>
      </c>
      <c r="L6" s="220" t="str">
        <f t="shared" si="0"/>
        <v> </v>
      </c>
      <c r="M6" s="225" t="str">
        <f t="shared" si="0"/>
        <v> </v>
      </c>
      <c r="N6" s="220" t="str">
        <f t="shared" si="0"/>
        <v> </v>
      </c>
      <c r="O6" s="220" t="str">
        <f t="shared" si="0"/>
        <v> </v>
      </c>
      <c r="P6" s="220">
        <f t="shared" si="0"/>
      </c>
      <c r="Q6" s="220" t="str">
        <f t="shared" si="0"/>
        <v>999, 103</v>
      </c>
      <c r="R6" s="220">
        <f t="shared" si="0"/>
        <v>0</v>
      </c>
      <c r="S6" s="220">
        <f t="shared" si="1"/>
      </c>
      <c r="T6" s="220">
        <f t="shared" si="1"/>
      </c>
      <c r="U6" s="220" t="str">
        <f t="shared" si="1"/>
        <v> </v>
      </c>
      <c r="V6" s="220" t="str">
        <f t="shared" si="1"/>
        <v> </v>
      </c>
      <c r="W6" s="220" t="str">
        <f t="shared" si="1"/>
        <v> </v>
      </c>
      <c r="X6" s="220" t="str">
        <f t="shared" si="1"/>
        <v> </v>
      </c>
      <c r="Y6" s="220" t="str">
        <f t="shared" si="1"/>
        <v> </v>
      </c>
      <c r="Z6" s="220" t="str">
        <f t="shared" si="1"/>
        <v> </v>
      </c>
      <c r="AA6" s="220" t="str">
        <f t="shared" si="1"/>
        <v> </v>
      </c>
      <c r="AB6" s="220" t="str">
        <f t="shared" si="1"/>
        <v> </v>
      </c>
      <c r="AC6" s="220" t="str">
        <f t="shared" si="1"/>
        <v> </v>
      </c>
      <c r="AD6" s="220" t="str">
        <f t="shared" si="1"/>
        <v> </v>
      </c>
    </row>
    <row r="7" spans="1:30" ht="12">
      <c r="A7" s="130" t="s">
        <v>655</v>
      </c>
      <c r="B7" s="220" t="str">
        <f t="shared" si="2"/>
        <v>LDCDUNS##</v>
      </c>
      <c r="C7" s="220" t="str">
        <f t="shared" si="0"/>
        <v>SUPDUNS##</v>
      </c>
      <c r="D7" s="221">
        <f t="shared" si="0"/>
        <v>35979</v>
      </c>
      <c r="E7" s="220" t="str">
        <f t="shared" si="0"/>
        <v> </v>
      </c>
      <c r="F7" s="224" t="str">
        <f t="shared" si="0"/>
        <v>E</v>
      </c>
      <c r="G7" s="220" t="str">
        <f t="shared" si="0"/>
        <v>S0000000000004</v>
      </c>
      <c r="H7" s="220" t="str">
        <f t="shared" si="0"/>
        <v>D0000000000003</v>
      </c>
      <c r="I7" s="220" t="str">
        <f t="shared" si="0"/>
        <v>ADAM</v>
      </c>
      <c r="J7" s="221">
        <f t="shared" si="0"/>
        <v>35989</v>
      </c>
      <c r="K7" s="220" t="str">
        <f t="shared" si="0"/>
        <v>C</v>
      </c>
      <c r="L7" s="220" t="str">
        <f t="shared" si="0"/>
        <v> </v>
      </c>
      <c r="M7" s="220" t="str">
        <f t="shared" si="0"/>
        <v>R01</v>
      </c>
      <c r="N7" s="220" t="str">
        <f t="shared" si="0"/>
        <v>R000001</v>
      </c>
      <c r="O7" s="220" t="str">
        <f t="shared" si="0"/>
        <v>E</v>
      </c>
      <c r="P7" s="220" t="str">
        <f t="shared" si="0"/>
        <v>M000000003</v>
      </c>
      <c r="Q7" s="220">
        <f t="shared" si="0"/>
        <v>100</v>
      </c>
      <c r="R7" s="220">
        <f t="shared" si="0"/>
        <v>0</v>
      </c>
      <c r="S7" s="220">
        <f t="shared" si="1"/>
        <v>8</v>
      </c>
      <c r="T7" s="220" t="str">
        <f t="shared" si="1"/>
        <v>N</v>
      </c>
      <c r="U7" s="220" t="str">
        <f t="shared" si="1"/>
        <v> </v>
      </c>
      <c r="V7" s="220" t="str">
        <f t="shared" si="1"/>
        <v> </v>
      </c>
      <c r="W7" s="220" t="str">
        <f t="shared" si="1"/>
        <v> </v>
      </c>
      <c r="X7" s="220" t="str">
        <f t="shared" si="1"/>
        <v>5 SOUTH STREET</v>
      </c>
      <c r="Y7" s="220" t="str">
        <f t="shared" si="1"/>
        <v> </v>
      </c>
      <c r="Z7" s="220" t="str">
        <f t="shared" si="1"/>
        <v>OLDTOWN </v>
      </c>
      <c r="AA7" s="220" t="str">
        <f t="shared" si="1"/>
        <v>MA</v>
      </c>
      <c r="AB7" s="220" t="str">
        <f t="shared" si="1"/>
        <v>99999</v>
      </c>
      <c r="AC7" s="220" t="str">
        <f t="shared" si="1"/>
        <v> </v>
      </c>
      <c r="AD7" s="220" t="str">
        <f t="shared" si="1"/>
        <v> </v>
      </c>
    </row>
    <row r="8" spans="1:30" ht="12">
      <c r="A8" s="130" t="s">
        <v>656</v>
      </c>
      <c r="B8" s="220" t="str">
        <f t="shared" si="2"/>
        <v>LDCDUNS##</v>
      </c>
      <c r="C8" s="220" t="str">
        <f t="shared" si="0"/>
        <v>SUPDUNS##</v>
      </c>
      <c r="D8" s="221">
        <f t="shared" si="0"/>
        <v>35979</v>
      </c>
      <c r="E8" s="220" t="str">
        <f t="shared" si="0"/>
        <v> </v>
      </c>
      <c r="F8" s="224" t="str">
        <f t="shared" si="0"/>
        <v>E</v>
      </c>
      <c r="G8" s="220" t="str">
        <f t="shared" si="0"/>
        <v>S0000000000004</v>
      </c>
      <c r="H8" s="220" t="str">
        <f t="shared" si="0"/>
        <v>D0000000000003</v>
      </c>
      <c r="I8" s="220" t="str">
        <f t="shared" si="0"/>
        <v>ADAM</v>
      </c>
      <c r="J8" s="221">
        <f t="shared" si="0"/>
        <v>35989</v>
      </c>
      <c r="K8" s="220" t="str">
        <f t="shared" si="0"/>
        <v>C</v>
      </c>
      <c r="L8" s="220" t="str">
        <f t="shared" si="0"/>
        <v> </v>
      </c>
      <c r="M8" s="220" t="str">
        <f t="shared" si="0"/>
        <v>R01</v>
      </c>
      <c r="N8" s="220" t="str">
        <f t="shared" si="0"/>
        <v>R000001</v>
      </c>
      <c r="O8" s="220" t="str">
        <f t="shared" si="0"/>
        <v>L</v>
      </c>
      <c r="P8" s="220" t="str">
        <f t="shared" si="0"/>
        <v>U000000001</v>
      </c>
      <c r="Q8" s="220">
        <f t="shared" si="0"/>
        <v>100</v>
      </c>
      <c r="R8" s="220">
        <f t="shared" si="0"/>
        <v>0</v>
      </c>
      <c r="S8" s="220">
        <f t="shared" si="1"/>
        <v>8</v>
      </c>
      <c r="T8" s="220" t="str">
        <f t="shared" si="1"/>
        <v>N</v>
      </c>
      <c r="U8" s="220" t="str">
        <f t="shared" si="1"/>
        <v> </v>
      </c>
      <c r="V8" s="220" t="str">
        <f t="shared" si="1"/>
        <v> </v>
      </c>
      <c r="W8" s="220" t="str">
        <f t="shared" si="1"/>
        <v> </v>
      </c>
      <c r="X8" s="220" t="str">
        <f t="shared" si="1"/>
        <v>5 SOUTH STREET</v>
      </c>
      <c r="Y8" s="220" t="str">
        <f t="shared" si="1"/>
        <v> </v>
      </c>
      <c r="Z8" s="220" t="str">
        <f t="shared" si="1"/>
        <v>OLDTOWN </v>
      </c>
      <c r="AA8" s="220" t="str">
        <f t="shared" si="1"/>
        <v>MA</v>
      </c>
      <c r="AB8" s="220" t="str">
        <f t="shared" si="1"/>
        <v>99999</v>
      </c>
      <c r="AC8" s="220" t="str">
        <f t="shared" si="1"/>
        <v> </v>
      </c>
      <c r="AD8" s="220" t="str">
        <f t="shared" si="1"/>
        <v> </v>
      </c>
    </row>
    <row r="9" spans="1:30" ht="12">
      <c r="A9" s="130" t="s">
        <v>657</v>
      </c>
      <c r="B9" s="220" t="str">
        <f t="shared" si="2"/>
        <v>LDCDUNS##</v>
      </c>
      <c r="C9" s="220" t="str">
        <f t="shared" si="0"/>
        <v>SUPDUNS##</v>
      </c>
      <c r="D9" s="221">
        <f t="shared" si="0"/>
        <v>35979</v>
      </c>
      <c r="E9" s="220" t="str">
        <f t="shared" si="0"/>
        <v> </v>
      </c>
      <c r="F9" s="224" t="str">
        <f t="shared" si="0"/>
        <v>E</v>
      </c>
      <c r="G9" s="220" t="str">
        <f t="shared" si="0"/>
        <v>S0000000000005</v>
      </c>
      <c r="H9" s="220" t="str">
        <f t="shared" si="0"/>
        <v>D0000000000004</v>
      </c>
      <c r="I9" s="220" t="str">
        <f t="shared" si="0"/>
        <v>WILL</v>
      </c>
      <c r="J9" s="221">
        <f t="shared" si="0"/>
        <v>35986</v>
      </c>
      <c r="K9" s="220" t="str">
        <f t="shared" si="0"/>
        <v>C</v>
      </c>
      <c r="L9" s="220" t="str">
        <f t="shared" si="0"/>
        <v> </v>
      </c>
      <c r="M9" s="220" t="str">
        <f t="shared" si="0"/>
        <v>G00</v>
      </c>
      <c r="N9" s="220" t="str">
        <f t="shared" si="0"/>
        <v>G000001</v>
      </c>
      <c r="O9" s="220" t="str">
        <f t="shared" si="0"/>
        <v>D</v>
      </c>
      <c r="P9" s="220" t="str">
        <f t="shared" si="0"/>
        <v>M000000005</v>
      </c>
      <c r="Q9" s="220">
        <f t="shared" si="0"/>
        <v>100</v>
      </c>
      <c r="R9" s="220">
        <f t="shared" si="0"/>
        <v>0</v>
      </c>
      <c r="S9" s="220">
        <f t="shared" si="1"/>
        <v>7</v>
      </c>
      <c r="T9" s="220" t="str">
        <f t="shared" si="1"/>
        <v>N</v>
      </c>
      <c r="U9" s="220" t="str">
        <f t="shared" si="1"/>
        <v> </v>
      </c>
      <c r="V9" s="220" t="str">
        <f t="shared" si="1"/>
        <v> </v>
      </c>
      <c r="W9" s="220" t="str">
        <f t="shared" si="1"/>
        <v> </v>
      </c>
      <c r="X9" s="220" t="str">
        <f t="shared" si="1"/>
        <v>100 STREET NAME</v>
      </c>
      <c r="Y9" s="220" t="str">
        <f t="shared" si="1"/>
        <v> </v>
      </c>
      <c r="Z9" s="220" t="str">
        <f t="shared" si="1"/>
        <v>TOWN </v>
      </c>
      <c r="AA9" s="220" t="str">
        <f t="shared" si="1"/>
        <v>MA</v>
      </c>
      <c r="AB9" s="220" t="str">
        <f t="shared" si="1"/>
        <v>99999</v>
      </c>
      <c r="AC9" s="220" t="str">
        <f t="shared" si="1"/>
        <v> </v>
      </c>
      <c r="AD9" s="220" t="str">
        <f t="shared" si="1"/>
        <v> </v>
      </c>
    </row>
    <row r="10" spans="1:30" ht="12">
      <c r="A10" s="130" t="s">
        <v>658</v>
      </c>
      <c r="B10" s="220" t="str">
        <f t="shared" si="2"/>
        <v>LDCDUNS##</v>
      </c>
      <c r="C10" s="220" t="str">
        <f t="shared" si="0"/>
        <v>SUPDUNS##</v>
      </c>
      <c r="D10" s="221">
        <f t="shared" si="0"/>
        <v>35979</v>
      </c>
      <c r="E10" s="220" t="str">
        <f t="shared" si="0"/>
        <v> </v>
      </c>
      <c r="F10" s="224" t="str">
        <f t="shared" si="0"/>
        <v>E</v>
      </c>
      <c r="G10" s="220" t="str">
        <f t="shared" si="0"/>
        <v>S0000000000005</v>
      </c>
      <c r="H10" s="220" t="str">
        <f t="shared" si="0"/>
        <v>D0000000000004</v>
      </c>
      <c r="I10" s="220" t="str">
        <f t="shared" si="0"/>
        <v>WILL</v>
      </c>
      <c r="J10" s="221">
        <f t="shared" si="0"/>
        <v>35986</v>
      </c>
      <c r="K10" s="220" t="str">
        <f t="shared" si="0"/>
        <v>C</v>
      </c>
      <c r="L10" s="220" t="str">
        <f t="shared" si="0"/>
        <v> </v>
      </c>
      <c r="M10" s="220" t="str">
        <f t="shared" si="0"/>
        <v>R02</v>
      </c>
      <c r="N10" s="220" t="str">
        <f t="shared" si="0"/>
        <v>R000002</v>
      </c>
      <c r="O10" s="220" t="str">
        <f t="shared" si="0"/>
        <v>D</v>
      </c>
      <c r="P10" s="220" t="str">
        <f t="shared" si="0"/>
        <v>M000000006</v>
      </c>
      <c r="Q10" s="220">
        <f t="shared" si="0"/>
        <v>100</v>
      </c>
      <c r="R10" s="220">
        <f t="shared" si="0"/>
        <v>0</v>
      </c>
      <c r="S10" s="220">
        <f t="shared" si="1"/>
        <v>7</v>
      </c>
      <c r="T10" s="220" t="str">
        <f t="shared" si="1"/>
        <v>N</v>
      </c>
      <c r="U10" s="220" t="str">
        <f t="shared" si="1"/>
        <v> </v>
      </c>
      <c r="V10" s="220" t="str">
        <f t="shared" si="1"/>
        <v> </v>
      </c>
      <c r="W10" s="220" t="str">
        <f t="shared" si="1"/>
        <v> </v>
      </c>
      <c r="X10" s="220" t="str">
        <f t="shared" si="1"/>
        <v>100 STREET NAME</v>
      </c>
      <c r="Y10" s="220" t="str">
        <f t="shared" si="1"/>
        <v> </v>
      </c>
      <c r="Z10" s="220" t="str">
        <f t="shared" si="1"/>
        <v>TOWN </v>
      </c>
      <c r="AA10" s="220" t="str">
        <f t="shared" si="1"/>
        <v>MA</v>
      </c>
      <c r="AB10" s="220" t="str">
        <f t="shared" si="1"/>
        <v>99999</v>
      </c>
      <c r="AC10" s="220" t="str">
        <f t="shared" si="1"/>
        <v> </v>
      </c>
      <c r="AD10" s="220" t="str">
        <f t="shared" si="1"/>
        <v> </v>
      </c>
    </row>
    <row r="11" spans="1:30" ht="12">
      <c r="A11" s="130" t="s">
        <v>659</v>
      </c>
      <c r="B11" s="220" t="str">
        <f t="shared" si="2"/>
        <v>LDCDUNS##</v>
      </c>
      <c r="C11" s="220" t="str">
        <f t="shared" si="0"/>
        <v>SUPDUNS##</v>
      </c>
      <c r="D11" s="221">
        <f t="shared" si="0"/>
        <v>35979</v>
      </c>
      <c r="E11" s="220" t="str">
        <f t="shared" si="0"/>
        <v> </v>
      </c>
      <c r="F11" s="224" t="str">
        <f t="shared" si="0"/>
        <v>X</v>
      </c>
      <c r="G11" s="220" t="str">
        <f t="shared" si="0"/>
        <v>S0000000000006</v>
      </c>
      <c r="H11" s="220" t="str">
        <f t="shared" si="0"/>
        <v>D0000000000005</v>
      </c>
      <c r="I11" s="220" t="str">
        <f t="shared" si="0"/>
        <v>ENDI</v>
      </c>
      <c r="J11" s="221">
        <f t="shared" si="0"/>
      </c>
      <c r="K11" s="220" t="str">
        <f t="shared" si="0"/>
        <v> </v>
      </c>
      <c r="L11" s="220" t="str">
        <f t="shared" si="0"/>
        <v> </v>
      </c>
      <c r="M11" s="220" t="str">
        <f t="shared" si="0"/>
        <v> </v>
      </c>
      <c r="N11" s="220" t="str">
        <f t="shared" si="0"/>
        <v> </v>
      </c>
      <c r="O11" s="220" t="str">
        <f t="shared" si="0"/>
        <v> </v>
      </c>
      <c r="P11" s="220" t="str">
        <f t="shared" si="0"/>
        <v> </v>
      </c>
      <c r="Q11" s="220">
        <f t="shared" si="0"/>
        <v>999</v>
      </c>
      <c r="R11" s="220" t="str">
        <f t="shared" si="0"/>
        <v>166, 112</v>
      </c>
      <c r="S11" s="220">
        <f t="shared" si="1"/>
      </c>
      <c r="T11" s="220" t="str">
        <f t="shared" si="1"/>
        <v> </v>
      </c>
      <c r="U11" s="220" t="str">
        <f t="shared" si="1"/>
        <v> </v>
      </c>
      <c r="V11" s="220" t="str">
        <f t="shared" si="1"/>
        <v> </v>
      </c>
      <c r="W11" s="220" t="str">
        <f t="shared" si="1"/>
        <v> </v>
      </c>
      <c r="X11" s="220" t="str">
        <f t="shared" si="1"/>
        <v> </v>
      </c>
      <c r="Y11" s="220" t="str">
        <f t="shared" si="1"/>
        <v> </v>
      </c>
      <c r="Z11" s="220" t="str">
        <f t="shared" si="1"/>
        <v> </v>
      </c>
      <c r="AA11" s="220" t="str">
        <f t="shared" si="1"/>
        <v> </v>
      </c>
      <c r="AB11" s="220" t="str">
        <f t="shared" si="1"/>
        <v> </v>
      </c>
      <c r="AC11" s="220" t="str">
        <f t="shared" si="1"/>
        <v> </v>
      </c>
      <c r="AD11" s="220" t="str">
        <f t="shared" si="1"/>
        <v> </v>
      </c>
    </row>
    <row r="12" spans="1:30" ht="12">
      <c r="A12" s="130" t="s">
        <v>660</v>
      </c>
      <c r="B12" s="220" t="str">
        <f aca="true" t="shared" si="3" ref="B12:K12">VLOOKUP($A12,Format_1_Table,B$3,FALSE)</f>
        <v>LDCDUNS##</v>
      </c>
      <c r="C12" s="220" t="str">
        <f t="shared" si="3"/>
        <v>SUPDUNS##</v>
      </c>
      <c r="D12" s="221">
        <f t="shared" si="3"/>
        <v>35979</v>
      </c>
      <c r="E12" s="220" t="str">
        <f t="shared" si="3"/>
        <v> </v>
      </c>
      <c r="F12" s="224" t="str">
        <f t="shared" si="3"/>
        <v>E</v>
      </c>
      <c r="G12" s="220" t="str">
        <f t="shared" si="3"/>
        <v>S0000000000007</v>
      </c>
      <c r="H12" s="220" t="str">
        <f t="shared" si="3"/>
        <v>D0000000000006</v>
      </c>
      <c r="I12" s="220" t="str">
        <f t="shared" si="3"/>
        <v>ZURC</v>
      </c>
      <c r="J12" s="221">
        <f t="shared" si="3"/>
        <v>36003</v>
      </c>
      <c r="K12" s="220" t="str">
        <f t="shared" si="3"/>
        <v>P</v>
      </c>
      <c r="L12" s="220" t="str">
        <f aca="true" t="shared" si="4" ref="L12:U12">VLOOKUP($A12,Format_1_Table,L$3,FALSE)</f>
        <v> </v>
      </c>
      <c r="M12" s="220" t="str">
        <f t="shared" si="4"/>
        <v> </v>
      </c>
      <c r="N12" s="220" t="str">
        <f t="shared" si="4"/>
        <v> </v>
      </c>
      <c r="O12" s="220" t="str">
        <f t="shared" si="4"/>
        <v>D</v>
      </c>
      <c r="P12" s="220" t="str">
        <f t="shared" si="4"/>
        <v>M000000009</v>
      </c>
      <c r="Q12" s="220">
        <f t="shared" si="4"/>
        <v>100</v>
      </c>
      <c r="R12" s="220">
        <f t="shared" si="4"/>
        <v>0</v>
      </c>
      <c r="S12" s="220">
        <f t="shared" si="4"/>
        <v>18</v>
      </c>
      <c r="T12" s="220">
        <f t="shared" si="4"/>
      </c>
      <c r="U12" s="220" t="str">
        <f t="shared" si="4"/>
        <v> </v>
      </c>
      <c r="V12" s="220" t="str">
        <f aca="true" t="shared" si="5" ref="V12:AD12">VLOOKUP($A12,Format_1_Table,V$3,FALSE)</f>
        <v> </v>
      </c>
      <c r="W12" s="220" t="str">
        <f t="shared" si="5"/>
        <v> </v>
      </c>
      <c r="X12" s="220" t="str">
        <f t="shared" si="5"/>
        <v>102 STREET NAME</v>
      </c>
      <c r="Y12" s="220" t="str">
        <f t="shared" si="5"/>
        <v> </v>
      </c>
      <c r="Z12" s="220" t="str">
        <f t="shared" si="5"/>
        <v>TOWN </v>
      </c>
      <c r="AA12" s="220" t="str">
        <f t="shared" si="5"/>
        <v>MA</v>
      </c>
      <c r="AB12" s="220" t="str">
        <f t="shared" si="5"/>
        <v>99999</v>
      </c>
      <c r="AC12" s="220" t="str">
        <f t="shared" si="5"/>
        <v> </v>
      </c>
      <c r="AD12" s="220" t="str">
        <f t="shared" si="5"/>
        <v> </v>
      </c>
    </row>
    <row r="13" spans="1:30" ht="12">
      <c r="A13" s="130" t="s">
        <v>661</v>
      </c>
      <c r="B13" s="220" t="str">
        <f aca="true" t="shared" si="6" ref="B13:K16">VLOOKUP($A13,Format_1_Table,B$3,FALSE)</f>
        <v>LDCDUNS##</v>
      </c>
      <c r="C13" s="220" t="str">
        <f t="shared" si="6"/>
        <v>SUPDUNS##</v>
      </c>
      <c r="D13" s="221">
        <f t="shared" si="6"/>
        <v>35979</v>
      </c>
      <c r="E13" s="220" t="str">
        <f t="shared" si="6"/>
        <v> </v>
      </c>
      <c r="F13" s="224" t="str">
        <f t="shared" si="6"/>
        <v>E</v>
      </c>
      <c r="G13" s="220" t="str">
        <f t="shared" si="6"/>
        <v>S0000000000008</v>
      </c>
      <c r="H13" s="220" t="str">
        <f t="shared" si="6"/>
        <v>D0000000000008</v>
      </c>
      <c r="I13" s="220" t="str">
        <f t="shared" si="6"/>
        <v>SAND</v>
      </c>
      <c r="J13" s="221">
        <f t="shared" si="6"/>
        <v>35982</v>
      </c>
      <c r="K13" s="220" t="str">
        <f t="shared" si="6"/>
        <v>P</v>
      </c>
      <c r="L13" s="220" t="str">
        <f aca="true" t="shared" si="7" ref="L13:U16">VLOOKUP($A13,Format_1_Table,L$3,FALSE)</f>
        <v> </v>
      </c>
      <c r="M13" s="220" t="str">
        <f t="shared" si="7"/>
        <v> </v>
      </c>
      <c r="N13" s="220" t="str">
        <f t="shared" si="7"/>
        <v> </v>
      </c>
      <c r="O13" s="220" t="str">
        <f t="shared" si="7"/>
        <v>E</v>
      </c>
      <c r="P13" s="220" t="str">
        <f t="shared" si="7"/>
        <v>M000000014</v>
      </c>
      <c r="Q13" s="220">
        <f t="shared" si="7"/>
        <v>100</v>
      </c>
      <c r="R13" s="220">
        <f t="shared" si="7"/>
        <v>0</v>
      </c>
      <c r="S13" s="220">
        <f t="shared" si="7"/>
        <v>3</v>
      </c>
      <c r="T13" s="220">
        <f t="shared" si="7"/>
      </c>
      <c r="U13" s="220" t="str">
        <f t="shared" si="7"/>
        <v> </v>
      </c>
      <c r="V13" s="220" t="str">
        <f aca="true" t="shared" si="8" ref="V13:AC16">VLOOKUP($A13,Format_1_Table,V$3,FALSE)</f>
        <v> </v>
      </c>
      <c r="W13" s="220" t="str">
        <f t="shared" si="8"/>
        <v> </v>
      </c>
      <c r="X13" s="220" t="str">
        <f t="shared" si="8"/>
        <v>105 STREET NAME</v>
      </c>
      <c r="Y13" s="220" t="str">
        <f t="shared" si="8"/>
        <v> </v>
      </c>
      <c r="Z13" s="220" t="str">
        <f t="shared" si="8"/>
        <v>TOWN </v>
      </c>
      <c r="AA13" s="220" t="str">
        <f t="shared" si="8"/>
        <v>MA</v>
      </c>
      <c r="AB13" s="220" t="str">
        <f t="shared" si="8"/>
        <v>99999</v>
      </c>
      <c r="AC13" s="220" t="str">
        <f t="shared" si="8"/>
        <v> </v>
      </c>
      <c r="AD13" s="220" t="str">
        <f aca="true" t="shared" si="9" ref="AD13:AD18">VLOOKUP($A13,Format_1_Table,AD$3,FALSE)</f>
        <v> </v>
      </c>
    </row>
    <row r="14" spans="1:30" ht="12">
      <c r="A14" s="130" t="s">
        <v>662</v>
      </c>
      <c r="B14" s="220" t="str">
        <f t="shared" si="6"/>
        <v>LDCDUNS##</v>
      </c>
      <c r="C14" s="220" t="str">
        <f t="shared" si="6"/>
        <v>SUPDUNS##</v>
      </c>
      <c r="D14" s="221">
        <f t="shared" si="6"/>
        <v>35979</v>
      </c>
      <c r="E14" s="220" t="str">
        <f t="shared" si="6"/>
        <v> </v>
      </c>
      <c r="F14" s="224" t="str">
        <f t="shared" si="6"/>
        <v>E</v>
      </c>
      <c r="G14" s="220" t="str">
        <f t="shared" si="6"/>
        <v>S0000000000009</v>
      </c>
      <c r="H14" s="220" t="str">
        <f t="shared" si="6"/>
        <v>D0000000000009</v>
      </c>
      <c r="I14" s="220" t="str">
        <f t="shared" si="6"/>
        <v>CURM</v>
      </c>
      <c r="J14" s="221">
        <f t="shared" si="6"/>
        <v>35985</v>
      </c>
      <c r="K14" s="220" t="str">
        <f t="shared" si="6"/>
        <v>P</v>
      </c>
      <c r="L14" s="220" t="str">
        <f t="shared" si="7"/>
        <v> </v>
      </c>
      <c r="M14" s="220" t="str">
        <f t="shared" si="7"/>
        <v> </v>
      </c>
      <c r="N14" s="220" t="str">
        <f t="shared" si="7"/>
        <v> </v>
      </c>
      <c r="O14" s="220" t="str">
        <f t="shared" si="7"/>
        <v>E</v>
      </c>
      <c r="P14" s="220" t="str">
        <f t="shared" si="7"/>
        <v>M000000015</v>
      </c>
      <c r="Q14" s="220">
        <f t="shared" si="7"/>
        <v>100</v>
      </c>
      <c r="R14" s="220">
        <f t="shared" si="7"/>
        <v>0</v>
      </c>
      <c r="S14" s="220">
        <f t="shared" si="7"/>
        <v>6</v>
      </c>
      <c r="T14" s="220">
        <f t="shared" si="7"/>
      </c>
      <c r="U14" s="220" t="str">
        <f t="shared" si="7"/>
        <v> </v>
      </c>
      <c r="V14" s="220" t="str">
        <f t="shared" si="8"/>
        <v> </v>
      </c>
      <c r="W14" s="220" t="str">
        <f t="shared" si="8"/>
        <v> </v>
      </c>
      <c r="X14" s="220" t="str">
        <f t="shared" si="8"/>
        <v>106 STREET NAME</v>
      </c>
      <c r="Y14" s="220" t="str">
        <f t="shared" si="8"/>
        <v> </v>
      </c>
      <c r="Z14" s="220" t="str">
        <f t="shared" si="8"/>
        <v>TOWN </v>
      </c>
      <c r="AA14" s="220" t="str">
        <f t="shared" si="8"/>
        <v>MA</v>
      </c>
      <c r="AB14" s="220" t="str">
        <f t="shared" si="8"/>
        <v>99999</v>
      </c>
      <c r="AC14" s="220" t="str">
        <f t="shared" si="8"/>
        <v> </v>
      </c>
      <c r="AD14" s="220" t="str">
        <f t="shared" si="9"/>
        <v> </v>
      </c>
    </row>
    <row r="15" spans="1:30" ht="12">
      <c r="A15" s="130" t="s">
        <v>663</v>
      </c>
      <c r="B15" s="220" t="str">
        <f t="shared" si="6"/>
        <v>LDCDUNS##</v>
      </c>
      <c r="C15" s="220" t="str">
        <f t="shared" si="6"/>
        <v>SUPDUNS##</v>
      </c>
      <c r="D15" s="221">
        <f t="shared" si="6"/>
        <v>35979</v>
      </c>
      <c r="E15" s="220" t="str">
        <f t="shared" si="6"/>
        <v> </v>
      </c>
      <c r="F15" s="224" t="str">
        <f t="shared" si="6"/>
        <v>E</v>
      </c>
      <c r="G15" s="220" t="str">
        <f t="shared" si="6"/>
        <v>S0000000000010</v>
      </c>
      <c r="H15" s="220" t="str">
        <f t="shared" si="6"/>
        <v>D0000000000010</v>
      </c>
      <c r="I15" s="220" t="str">
        <f t="shared" si="6"/>
        <v>OGIL</v>
      </c>
      <c r="J15" s="221">
        <f t="shared" si="6"/>
        <v>35985</v>
      </c>
      <c r="K15" s="220" t="str">
        <f t="shared" si="6"/>
        <v>P</v>
      </c>
      <c r="L15" s="220" t="str">
        <f t="shared" si="7"/>
        <v> </v>
      </c>
      <c r="M15" s="220" t="str">
        <f t="shared" si="7"/>
        <v> </v>
      </c>
      <c r="N15" s="220" t="str">
        <f t="shared" si="7"/>
        <v> </v>
      </c>
      <c r="O15" s="220" t="str">
        <f t="shared" si="7"/>
        <v>D</v>
      </c>
      <c r="P15" s="220" t="str">
        <f t="shared" si="7"/>
        <v>M000000017</v>
      </c>
      <c r="Q15" s="220">
        <f t="shared" si="7"/>
        <v>100</v>
      </c>
      <c r="R15" s="220">
        <f t="shared" si="7"/>
        <v>0</v>
      </c>
      <c r="S15" s="220">
        <f t="shared" si="7"/>
        <v>6</v>
      </c>
      <c r="T15" s="220">
        <f t="shared" si="7"/>
      </c>
      <c r="U15" s="220" t="str">
        <f t="shared" si="7"/>
        <v> </v>
      </c>
      <c r="V15" s="220" t="str">
        <f t="shared" si="8"/>
        <v> </v>
      </c>
      <c r="W15" s="220" t="str">
        <f t="shared" si="8"/>
        <v> </v>
      </c>
      <c r="X15" s="220" t="str">
        <f t="shared" si="8"/>
        <v>107 STREET NAME</v>
      </c>
      <c r="Y15" s="220" t="str">
        <f t="shared" si="8"/>
        <v> </v>
      </c>
      <c r="Z15" s="220" t="str">
        <f t="shared" si="8"/>
        <v>TOWN </v>
      </c>
      <c r="AA15" s="220" t="str">
        <f t="shared" si="8"/>
        <v>MA</v>
      </c>
      <c r="AB15" s="220" t="str">
        <f t="shared" si="8"/>
        <v>99999</v>
      </c>
      <c r="AC15" s="220" t="str">
        <f t="shared" si="8"/>
        <v> </v>
      </c>
      <c r="AD15" s="220" t="str">
        <f t="shared" si="9"/>
        <v> </v>
      </c>
    </row>
    <row r="16" spans="1:30" ht="12">
      <c r="A16" s="130" t="s">
        <v>664</v>
      </c>
      <c r="B16" s="220" t="str">
        <f t="shared" si="6"/>
        <v>LDCDUNS##</v>
      </c>
      <c r="C16" s="220" t="str">
        <f t="shared" si="6"/>
        <v>SUPDUNS##</v>
      </c>
      <c r="D16" s="221">
        <f t="shared" si="6"/>
        <v>35979</v>
      </c>
      <c r="E16" s="220" t="str">
        <f t="shared" si="6"/>
        <v> </v>
      </c>
      <c r="F16" s="224" t="str">
        <f t="shared" si="6"/>
        <v>E</v>
      </c>
      <c r="G16" s="220" t="str">
        <f t="shared" si="6"/>
        <v>S0000000000010</v>
      </c>
      <c r="H16" s="220" t="str">
        <f t="shared" si="6"/>
        <v>D0000000000010</v>
      </c>
      <c r="I16" s="220" t="str">
        <f t="shared" si="6"/>
        <v>OGIL</v>
      </c>
      <c r="J16" s="221">
        <f t="shared" si="6"/>
        <v>35985</v>
      </c>
      <c r="K16" s="220" t="str">
        <f t="shared" si="6"/>
        <v>P</v>
      </c>
      <c r="L16" s="220" t="str">
        <f t="shared" si="7"/>
        <v> </v>
      </c>
      <c r="M16" s="220" t="str">
        <f t="shared" si="7"/>
        <v> </v>
      </c>
      <c r="N16" s="220" t="str">
        <f t="shared" si="7"/>
        <v> </v>
      </c>
      <c r="O16" s="220" t="str">
        <f t="shared" si="7"/>
        <v>D</v>
      </c>
      <c r="P16" s="220" t="str">
        <f t="shared" si="7"/>
        <v>M000000018</v>
      </c>
      <c r="Q16" s="220">
        <f t="shared" si="7"/>
        <v>100</v>
      </c>
      <c r="R16" s="220">
        <f t="shared" si="7"/>
        <v>0</v>
      </c>
      <c r="S16" s="220">
        <f t="shared" si="7"/>
        <v>6</v>
      </c>
      <c r="T16" s="220">
        <f t="shared" si="7"/>
      </c>
      <c r="U16" s="220" t="str">
        <f t="shared" si="7"/>
        <v> </v>
      </c>
      <c r="V16" s="220" t="str">
        <f t="shared" si="8"/>
        <v> </v>
      </c>
      <c r="W16" s="220" t="str">
        <f t="shared" si="8"/>
        <v> </v>
      </c>
      <c r="X16" s="220" t="str">
        <f t="shared" si="8"/>
        <v>107 STREET NAME</v>
      </c>
      <c r="Y16" s="220" t="str">
        <f t="shared" si="8"/>
        <v> </v>
      </c>
      <c r="Z16" s="220" t="str">
        <f t="shared" si="8"/>
        <v>TOWN </v>
      </c>
      <c r="AA16" s="220" t="str">
        <f t="shared" si="8"/>
        <v>MA</v>
      </c>
      <c r="AB16" s="220" t="str">
        <f t="shared" si="8"/>
        <v>99999</v>
      </c>
      <c r="AC16" s="220" t="str">
        <f t="shared" si="8"/>
        <v> </v>
      </c>
      <c r="AD16" s="220" t="str">
        <f t="shared" si="9"/>
        <v> </v>
      </c>
    </row>
    <row r="17" spans="1:30" ht="12">
      <c r="A17" s="130" t="s">
        <v>665</v>
      </c>
      <c r="B17" s="220" t="str">
        <f aca="true" t="shared" si="10" ref="B17:Q17">VLOOKUP($A17,Format_1_Table,B$3,FALSE)</f>
        <v>LDCDUNS##</v>
      </c>
      <c r="C17" s="220" t="str">
        <f t="shared" si="10"/>
        <v>SUPDUNS##</v>
      </c>
      <c r="D17" s="221">
        <f t="shared" si="10"/>
        <v>35979</v>
      </c>
      <c r="E17" s="220" t="str">
        <f t="shared" si="10"/>
        <v> </v>
      </c>
      <c r="F17" s="224" t="str">
        <f t="shared" si="10"/>
        <v>E</v>
      </c>
      <c r="G17" s="220" t="str">
        <f t="shared" si="10"/>
        <v>S0000000000011</v>
      </c>
      <c r="H17" s="220" t="str">
        <f t="shared" si="10"/>
        <v>D0000000000011</v>
      </c>
      <c r="I17" s="220" t="str">
        <f t="shared" si="10"/>
        <v>CRAN</v>
      </c>
      <c r="J17" s="221">
        <f t="shared" si="10"/>
        <v>35985</v>
      </c>
      <c r="K17" s="220" t="str">
        <f t="shared" si="10"/>
        <v>C</v>
      </c>
      <c r="L17" s="220" t="str">
        <f t="shared" si="10"/>
        <v> </v>
      </c>
      <c r="M17" s="220" t="str">
        <f t="shared" si="10"/>
        <v>R01</v>
      </c>
      <c r="N17" s="220" t="str">
        <f t="shared" si="10"/>
        <v>R000001</v>
      </c>
      <c r="O17" s="220" t="str">
        <f t="shared" si="10"/>
        <v>E</v>
      </c>
      <c r="P17" s="220" t="str">
        <f t="shared" si="10"/>
        <v>M000000019</v>
      </c>
      <c r="Q17" s="220">
        <f t="shared" si="10"/>
        <v>100</v>
      </c>
      <c r="R17" s="220">
        <f aca="true" t="shared" si="11" ref="C17:R28">VLOOKUP($A17,Format_1_Table,R$3,FALSE)</f>
        <v>0</v>
      </c>
      <c r="S17" s="220">
        <f aca="true" t="shared" si="12" ref="S17:AC17">VLOOKUP($A17,Format_1_Table,S$3,FALSE)</f>
        <v>6</v>
      </c>
      <c r="T17" s="220" t="str">
        <f t="shared" si="12"/>
        <v>N</v>
      </c>
      <c r="U17" s="220" t="str">
        <f t="shared" si="12"/>
        <v> </v>
      </c>
      <c r="V17" s="220" t="str">
        <f t="shared" si="12"/>
        <v> </v>
      </c>
      <c r="W17" s="220" t="str">
        <f t="shared" si="12"/>
        <v> </v>
      </c>
      <c r="X17" s="220" t="str">
        <f t="shared" si="12"/>
        <v>108 STREET NAME</v>
      </c>
      <c r="Y17" s="220" t="str">
        <f t="shared" si="12"/>
        <v> </v>
      </c>
      <c r="Z17" s="220" t="str">
        <f t="shared" si="12"/>
        <v>TOWN </v>
      </c>
      <c r="AA17" s="220" t="str">
        <f t="shared" si="12"/>
        <v>MA</v>
      </c>
      <c r="AB17" s="220" t="str">
        <f t="shared" si="12"/>
        <v>99999</v>
      </c>
      <c r="AC17" s="220" t="str">
        <f t="shared" si="12"/>
        <v> </v>
      </c>
      <c r="AD17" s="220" t="str">
        <f t="shared" si="9"/>
        <v> </v>
      </c>
    </row>
    <row r="18" spans="1:30" ht="12">
      <c r="A18" s="130" t="s">
        <v>666</v>
      </c>
      <c r="B18" s="220" t="str">
        <f>VLOOKUP($A18,Format_1_Table,B$3,FALSE)</f>
        <v>LDCDUNS##</v>
      </c>
      <c r="C18" s="220" t="str">
        <f t="shared" si="11"/>
        <v>SUPDUNS##</v>
      </c>
      <c r="D18" s="221">
        <f t="shared" si="11"/>
        <v>35979</v>
      </c>
      <c r="E18" s="220" t="str">
        <f t="shared" si="11"/>
        <v> </v>
      </c>
      <c r="F18" s="224" t="str">
        <f t="shared" si="11"/>
        <v>E</v>
      </c>
      <c r="G18" s="220" t="str">
        <f t="shared" si="11"/>
        <v>S0000000000012</v>
      </c>
      <c r="H18" s="220" t="str">
        <f t="shared" si="11"/>
        <v>D0000000000012</v>
      </c>
      <c r="I18" s="220" t="str">
        <f t="shared" si="11"/>
        <v>IBM</v>
      </c>
      <c r="J18" s="221">
        <f t="shared" si="11"/>
        <v>35985</v>
      </c>
      <c r="K18" s="220" t="str">
        <f t="shared" si="11"/>
        <v>C</v>
      </c>
      <c r="L18" s="220" t="str">
        <f t="shared" si="11"/>
        <v> </v>
      </c>
      <c r="M18" s="220" t="str">
        <f t="shared" si="11"/>
        <v>G00</v>
      </c>
      <c r="N18" s="220" t="str">
        <f t="shared" si="11"/>
        <v>G000001</v>
      </c>
      <c r="O18" s="220" t="str">
        <f t="shared" si="11"/>
        <v>D</v>
      </c>
      <c r="P18" s="220" t="str">
        <f t="shared" si="11"/>
        <v>M000000021</v>
      </c>
      <c r="Q18" s="220">
        <f t="shared" si="11"/>
        <v>100</v>
      </c>
      <c r="R18" s="220">
        <f t="shared" si="11"/>
        <v>0</v>
      </c>
      <c r="S18" s="220">
        <f aca="true" t="shared" si="13" ref="S18:AD28">VLOOKUP($A18,Format_1_Table,S$3,FALSE)</f>
        <v>6</v>
      </c>
      <c r="T18" s="220" t="str">
        <f t="shared" si="13"/>
        <v>N</v>
      </c>
      <c r="U18" s="220" t="str">
        <f t="shared" si="13"/>
        <v> </v>
      </c>
      <c r="V18" s="220" t="str">
        <f t="shared" si="13"/>
        <v> </v>
      </c>
      <c r="W18" s="220" t="str">
        <f t="shared" si="13"/>
        <v> </v>
      </c>
      <c r="X18" s="220" t="str">
        <f t="shared" si="13"/>
        <v>109 STREET NAME</v>
      </c>
      <c r="Y18" s="220" t="str">
        <f t="shared" si="13"/>
        <v>BLDG 7</v>
      </c>
      <c r="Z18" s="220" t="str">
        <f t="shared" si="13"/>
        <v>TOWN </v>
      </c>
      <c r="AA18" s="220" t="str">
        <f t="shared" si="13"/>
        <v>MA</v>
      </c>
      <c r="AB18" s="220" t="str">
        <f t="shared" si="13"/>
        <v>99999</v>
      </c>
      <c r="AC18" s="220" t="str">
        <f t="shared" si="13"/>
        <v> </v>
      </c>
      <c r="AD18" s="220" t="str">
        <f t="shared" si="9"/>
        <v> </v>
      </c>
    </row>
    <row r="19" spans="1:30" ht="12">
      <c r="A19" s="130" t="s">
        <v>667</v>
      </c>
      <c r="B19" s="220" t="str">
        <f aca="true" t="shared" si="14" ref="B19:B28">VLOOKUP($A19,Format_1_Table,B$3,FALSE)</f>
        <v>LDCDUNS##</v>
      </c>
      <c r="C19" s="220" t="str">
        <f t="shared" si="11"/>
        <v>SUPDUNS##</v>
      </c>
      <c r="D19" s="221">
        <f t="shared" si="11"/>
        <v>35979</v>
      </c>
      <c r="E19" s="220" t="str">
        <f t="shared" si="11"/>
        <v> </v>
      </c>
      <c r="F19" s="224" t="str">
        <f t="shared" si="11"/>
        <v>E</v>
      </c>
      <c r="G19" s="220" t="str">
        <f t="shared" si="11"/>
        <v>S0000000000012</v>
      </c>
      <c r="H19" s="220" t="str">
        <f t="shared" si="11"/>
        <v>D0000000000012</v>
      </c>
      <c r="I19" s="220" t="str">
        <f t="shared" si="11"/>
        <v>IBM</v>
      </c>
      <c r="J19" s="221">
        <f t="shared" si="11"/>
        <v>35985</v>
      </c>
      <c r="K19" s="220" t="str">
        <f t="shared" si="11"/>
        <v>C</v>
      </c>
      <c r="L19" s="220" t="str">
        <f t="shared" si="11"/>
        <v> </v>
      </c>
      <c r="M19" s="220" t="str">
        <f t="shared" si="11"/>
        <v>G00</v>
      </c>
      <c r="N19" s="220" t="str">
        <f t="shared" si="11"/>
        <v>G000001</v>
      </c>
      <c r="O19" s="220" t="str">
        <f t="shared" si="11"/>
        <v>D</v>
      </c>
      <c r="P19" s="220" t="str">
        <f t="shared" si="11"/>
        <v>M000000022</v>
      </c>
      <c r="Q19" s="220">
        <f t="shared" si="11"/>
        <v>100</v>
      </c>
      <c r="R19" s="220">
        <f t="shared" si="11"/>
        <v>0</v>
      </c>
      <c r="S19" s="220">
        <f t="shared" si="13"/>
        <v>6</v>
      </c>
      <c r="T19" s="220" t="str">
        <f t="shared" si="13"/>
        <v>N</v>
      </c>
      <c r="U19" s="220" t="str">
        <f t="shared" si="13"/>
        <v> </v>
      </c>
      <c r="V19" s="220" t="str">
        <f t="shared" si="13"/>
        <v> </v>
      </c>
      <c r="W19" s="220" t="str">
        <f t="shared" si="13"/>
        <v> </v>
      </c>
      <c r="X19" s="220" t="str">
        <f t="shared" si="13"/>
        <v>109 STREET NAME</v>
      </c>
      <c r="Y19" s="220" t="str">
        <f t="shared" si="13"/>
        <v>BLDG 7</v>
      </c>
      <c r="Z19" s="220" t="str">
        <f t="shared" si="13"/>
        <v>TOWN </v>
      </c>
      <c r="AA19" s="220" t="str">
        <f t="shared" si="13"/>
        <v>MA</v>
      </c>
      <c r="AB19" s="220" t="str">
        <f t="shared" si="13"/>
        <v> </v>
      </c>
      <c r="AC19" s="220" t="str">
        <f t="shared" si="13"/>
        <v> </v>
      </c>
      <c r="AD19" s="220" t="str">
        <f t="shared" si="13"/>
        <v> </v>
      </c>
    </row>
    <row r="20" spans="1:30" ht="12">
      <c r="A20" s="130" t="s">
        <v>668</v>
      </c>
      <c r="B20" s="220" t="str">
        <f t="shared" si="14"/>
        <v>LDCDUNS##</v>
      </c>
      <c r="C20" s="220" t="str">
        <f t="shared" si="11"/>
        <v>SUPDUNS##</v>
      </c>
      <c r="D20" s="221">
        <f t="shared" si="11"/>
        <v>35979</v>
      </c>
      <c r="E20" s="220" t="str">
        <f t="shared" si="11"/>
        <v> </v>
      </c>
      <c r="F20" s="224" t="str">
        <f t="shared" si="11"/>
        <v>E</v>
      </c>
      <c r="G20" s="220" t="str">
        <f t="shared" si="11"/>
        <v>S0000000000013</v>
      </c>
      <c r="H20" s="220" t="str">
        <f t="shared" si="11"/>
        <v>D0000000000013</v>
      </c>
      <c r="I20" s="220" t="str">
        <f t="shared" si="11"/>
        <v>EL N</v>
      </c>
      <c r="J20" s="221">
        <f t="shared" si="11"/>
        <v>35985</v>
      </c>
      <c r="K20" s="220" t="str">
        <f t="shared" si="11"/>
        <v>P</v>
      </c>
      <c r="L20" s="220" t="str">
        <f t="shared" si="11"/>
        <v> </v>
      </c>
      <c r="M20" s="220" t="str">
        <f t="shared" si="11"/>
        <v> </v>
      </c>
      <c r="N20" s="220" t="str">
        <f t="shared" si="11"/>
        <v> </v>
      </c>
      <c r="O20" s="220" t="str">
        <f t="shared" si="11"/>
        <v>E</v>
      </c>
      <c r="P20" s="220" t="str">
        <f t="shared" si="11"/>
        <v>M000000023</v>
      </c>
      <c r="Q20" s="220">
        <f t="shared" si="11"/>
        <v>100</v>
      </c>
      <c r="R20" s="220">
        <f t="shared" si="11"/>
        <v>0</v>
      </c>
      <c r="S20" s="220">
        <f t="shared" si="13"/>
        <v>6</v>
      </c>
      <c r="T20" s="220">
        <f t="shared" si="13"/>
      </c>
      <c r="U20" s="220" t="str">
        <f t="shared" si="13"/>
        <v> </v>
      </c>
      <c r="V20" s="220" t="str">
        <f t="shared" si="13"/>
        <v> </v>
      </c>
      <c r="W20" s="220" t="str">
        <f t="shared" si="13"/>
        <v> </v>
      </c>
      <c r="X20" s="220" t="str">
        <f t="shared" si="13"/>
        <v>110 STREET NAME</v>
      </c>
      <c r="Y20" s="220" t="str">
        <f t="shared" si="13"/>
        <v> </v>
      </c>
      <c r="Z20" s="220" t="str">
        <f t="shared" si="13"/>
        <v>TOWN </v>
      </c>
      <c r="AA20" s="220" t="str">
        <f t="shared" si="13"/>
        <v>MA</v>
      </c>
      <c r="AB20" s="220" t="str">
        <f t="shared" si="13"/>
        <v>99999</v>
      </c>
      <c r="AC20" s="220" t="str">
        <f t="shared" si="13"/>
        <v> </v>
      </c>
      <c r="AD20" s="220" t="str">
        <f t="shared" si="13"/>
        <v> </v>
      </c>
    </row>
    <row r="21" spans="1:30" ht="12">
      <c r="A21" s="130" t="s">
        <v>669</v>
      </c>
      <c r="B21" s="220" t="str">
        <f t="shared" si="14"/>
        <v>LDCDUNS##</v>
      </c>
      <c r="C21" s="220" t="str">
        <f t="shared" si="11"/>
        <v>SUPDUNS##</v>
      </c>
      <c r="D21" s="221">
        <f t="shared" si="11"/>
        <v>35979</v>
      </c>
      <c r="E21" s="220" t="str">
        <f t="shared" si="11"/>
        <v> </v>
      </c>
      <c r="F21" s="224" t="str">
        <f t="shared" si="11"/>
        <v>E</v>
      </c>
      <c r="G21" s="220" t="str">
        <f t="shared" si="11"/>
        <v>S0000000000014</v>
      </c>
      <c r="H21" s="220" t="str">
        <f t="shared" si="11"/>
        <v>D0000000000014</v>
      </c>
      <c r="I21" s="220" t="str">
        <f t="shared" si="11"/>
        <v>WINS</v>
      </c>
      <c r="J21" s="221">
        <f t="shared" si="11"/>
        <v>35985</v>
      </c>
      <c r="K21" s="220" t="str">
        <f t="shared" si="11"/>
        <v>C</v>
      </c>
      <c r="L21" s="220" t="str">
        <f t="shared" si="11"/>
        <v> </v>
      </c>
      <c r="M21" s="220" t="str">
        <f t="shared" si="11"/>
        <v>R01</v>
      </c>
      <c r="N21" s="220" t="str">
        <f t="shared" si="11"/>
        <v>R000001</v>
      </c>
      <c r="O21" s="220" t="str">
        <f t="shared" si="11"/>
        <v>E</v>
      </c>
      <c r="P21" s="220" t="str">
        <f t="shared" si="11"/>
        <v>M000000025</v>
      </c>
      <c r="Q21" s="220">
        <f t="shared" si="11"/>
        <v>100</v>
      </c>
      <c r="R21" s="220">
        <f t="shared" si="11"/>
        <v>0</v>
      </c>
      <c r="S21" s="220">
        <f t="shared" si="13"/>
        <v>6</v>
      </c>
      <c r="T21" s="220" t="str">
        <f t="shared" si="13"/>
        <v>N</v>
      </c>
      <c r="U21" s="220" t="str">
        <f t="shared" si="13"/>
        <v> </v>
      </c>
      <c r="V21" s="220" t="str">
        <f t="shared" si="13"/>
        <v> </v>
      </c>
      <c r="W21" s="220" t="str">
        <f t="shared" si="13"/>
        <v> </v>
      </c>
      <c r="X21" s="220" t="str">
        <f t="shared" si="13"/>
        <v>111 STREET NAME</v>
      </c>
      <c r="Y21" s="220" t="str">
        <f t="shared" si="13"/>
        <v> </v>
      </c>
      <c r="Z21" s="220" t="str">
        <f t="shared" si="13"/>
        <v>TOWN </v>
      </c>
      <c r="AA21" s="220" t="str">
        <f t="shared" si="13"/>
        <v>MA</v>
      </c>
      <c r="AB21" s="220" t="str">
        <f t="shared" si="13"/>
        <v>99999</v>
      </c>
      <c r="AC21" s="220" t="str">
        <f t="shared" si="13"/>
        <v> </v>
      </c>
      <c r="AD21" s="220" t="str">
        <f t="shared" si="13"/>
        <v> </v>
      </c>
    </row>
    <row r="22" spans="1:30" ht="12">
      <c r="A22" s="130" t="s">
        <v>670</v>
      </c>
      <c r="B22" s="220" t="str">
        <f t="shared" si="14"/>
        <v>LDCDUNS##</v>
      </c>
      <c r="C22" s="220" t="str">
        <f t="shared" si="11"/>
        <v>SUPDUNS##</v>
      </c>
      <c r="D22" s="221">
        <f t="shared" si="11"/>
        <v>35979</v>
      </c>
      <c r="E22" s="220" t="str">
        <f t="shared" si="11"/>
        <v> </v>
      </c>
      <c r="F22" s="224" t="str">
        <f t="shared" si="11"/>
        <v>E</v>
      </c>
      <c r="G22" s="220" t="str">
        <f t="shared" si="11"/>
        <v>S0000000000015</v>
      </c>
      <c r="H22" s="220" t="str">
        <f t="shared" si="11"/>
        <v>D0000000000015</v>
      </c>
      <c r="I22" s="220" t="str">
        <f t="shared" si="11"/>
        <v>ELLI</v>
      </c>
      <c r="J22" s="221">
        <f t="shared" si="11"/>
        <v>35985</v>
      </c>
      <c r="K22" s="220" t="str">
        <f t="shared" si="11"/>
        <v>C</v>
      </c>
      <c r="L22" s="220" t="str">
        <f t="shared" si="11"/>
        <v> </v>
      </c>
      <c r="M22" s="220" t="str">
        <f t="shared" si="11"/>
        <v>R01</v>
      </c>
      <c r="N22" s="220" t="str">
        <f t="shared" si="11"/>
        <v>R000001</v>
      </c>
      <c r="O22" s="220" t="str">
        <f t="shared" si="11"/>
        <v>E</v>
      </c>
      <c r="P22" s="220" t="str">
        <f t="shared" si="11"/>
        <v>M000000027</v>
      </c>
      <c r="Q22" s="220">
        <f t="shared" si="11"/>
        <v>100</v>
      </c>
      <c r="R22" s="220">
        <f t="shared" si="11"/>
        <v>0</v>
      </c>
      <c r="S22" s="220">
        <f t="shared" si="13"/>
        <v>6</v>
      </c>
      <c r="T22" s="220" t="str">
        <f t="shared" si="13"/>
        <v>N</v>
      </c>
      <c r="U22" s="220" t="str">
        <f t="shared" si="13"/>
        <v> </v>
      </c>
      <c r="V22" s="220" t="str">
        <f t="shared" si="13"/>
        <v> </v>
      </c>
      <c r="W22" s="220" t="str">
        <f t="shared" si="13"/>
        <v> </v>
      </c>
      <c r="X22" s="220" t="str">
        <f t="shared" si="13"/>
        <v>112 STREET NAME</v>
      </c>
      <c r="Y22" s="220" t="str">
        <f t="shared" si="13"/>
        <v> </v>
      </c>
      <c r="Z22" s="220" t="str">
        <f t="shared" si="13"/>
        <v>TOWN </v>
      </c>
      <c r="AA22" s="220" t="str">
        <f t="shared" si="13"/>
        <v>MA</v>
      </c>
      <c r="AB22" s="220" t="str">
        <f t="shared" si="13"/>
        <v>99999</v>
      </c>
      <c r="AC22" s="220" t="str">
        <f t="shared" si="13"/>
        <v> </v>
      </c>
      <c r="AD22" s="220" t="str">
        <f t="shared" si="13"/>
        <v> </v>
      </c>
    </row>
    <row r="23" spans="1:30" ht="12">
      <c r="A23" s="130" t="s">
        <v>671</v>
      </c>
      <c r="B23" s="220" t="str">
        <f t="shared" si="14"/>
        <v>LDCDUNS##</v>
      </c>
      <c r="C23" s="220" t="str">
        <f t="shared" si="11"/>
        <v>SUPDUNS##</v>
      </c>
      <c r="D23" s="221">
        <f t="shared" si="11"/>
        <v>35979</v>
      </c>
      <c r="E23" s="220" t="str">
        <f t="shared" si="11"/>
        <v> </v>
      </c>
      <c r="F23" s="224" t="str">
        <f t="shared" si="11"/>
        <v>E</v>
      </c>
      <c r="G23" s="220" t="str">
        <f t="shared" si="11"/>
        <v>S0000000000016</v>
      </c>
      <c r="H23" s="220" t="str">
        <f t="shared" si="11"/>
        <v>D0000000000016</v>
      </c>
      <c r="I23" s="220" t="str">
        <f t="shared" si="11"/>
        <v>DONA</v>
      </c>
      <c r="J23" s="221">
        <f t="shared" si="11"/>
        <v>35985</v>
      </c>
      <c r="K23" s="220" t="str">
        <f t="shared" si="11"/>
        <v>P</v>
      </c>
      <c r="L23" s="220" t="str">
        <f t="shared" si="11"/>
        <v> </v>
      </c>
      <c r="M23" s="220" t="str">
        <f t="shared" si="11"/>
        <v> </v>
      </c>
      <c r="N23" s="220" t="str">
        <f t="shared" si="11"/>
        <v> </v>
      </c>
      <c r="O23" s="220" t="str">
        <f t="shared" si="11"/>
        <v>T</v>
      </c>
      <c r="P23" s="220" t="str">
        <f t="shared" si="11"/>
        <v>M000000029</v>
      </c>
      <c r="Q23" s="220">
        <f t="shared" si="11"/>
        <v>100</v>
      </c>
      <c r="R23" s="220">
        <f t="shared" si="11"/>
        <v>0</v>
      </c>
      <c r="S23" s="220">
        <f t="shared" si="13"/>
        <v>6</v>
      </c>
      <c r="T23" s="220">
        <f t="shared" si="13"/>
      </c>
      <c r="U23" s="220" t="str">
        <f t="shared" si="13"/>
        <v> </v>
      </c>
      <c r="V23" s="220" t="str">
        <f t="shared" si="13"/>
        <v> </v>
      </c>
      <c r="W23" s="220" t="str">
        <f t="shared" si="13"/>
        <v> </v>
      </c>
      <c r="X23" s="220" t="str">
        <f t="shared" si="13"/>
        <v>113 STREET NAME</v>
      </c>
      <c r="Y23" s="220" t="str">
        <f t="shared" si="13"/>
        <v> </v>
      </c>
      <c r="Z23" s="220" t="str">
        <f t="shared" si="13"/>
        <v>TOWN </v>
      </c>
      <c r="AA23" s="220" t="str">
        <f t="shared" si="13"/>
        <v>MA</v>
      </c>
      <c r="AB23" s="220" t="str">
        <f t="shared" si="13"/>
        <v>99999</v>
      </c>
      <c r="AC23" s="220" t="str">
        <f t="shared" si="13"/>
        <v> </v>
      </c>
      <c r="AD23" s="220" t="str">
        <f t="shared" si="13"/>
        <v> </v>
      </c>
    </row>
    <row r="24" spans="1:30" ht="12">
      <c r="A24" s="130" t="s">
        <v>672</v>
      </c>
      <c r="B24" s="220" t="str">
        <f t="shared" si="14"/>
        <v>LDCDUNS##</v>
      </c>
      <c r="C24" s="220" t="str">
        <f t="shared" si="11"/>
        <v>SUPDUNS##</v>
      </c>
      <c r="D24" s="221">
        <f t="shared" si="11"/>
        <v>35979</v>
      </c>
      <c r="E24" s="220" t="str">
        <f t="shared" si="11"/>
        <v> </v>
      </c>
      <c r="F24" s="224" t="str">
        <f t="shared" si="11"/>
        <v>E</v>
      </c>
      <c r="G24" s="220" t="str">
        <f t="shared" si="11"/>
        <v>S0000000000017</v>
      </c>
      <c r="H24" s="220" t="str">
        <f t="shared" si="11"/>
        <v>D0000000000017</v>
      </c>
      <c r="I24" s="220" t="str">
        <f t="shared" si="11"/>
        <v>WIGG</v>
      </c>
      <c r="J24" s="221">
        <f t="shared" si="11"/>
        <v>35985</v>
      </c>
      <c r="K24" s="220" t="str">
        <f t="shared" si="11"/>
        <v>P</v>
      </c>
      <c r="L24" s="220" t="str">
        <f t="shared" si="11"/>
        <v> </v>
      </c>
      <c r="M24" s="220" t="str">
        <f t="shared" si="11"/>
        <v> </v>
      </c>
      <c r="N24" s="220" t="str">
        <f t="shared" si="11"/>
        <v> </v>
      </c>
      <c r="O24" s="220" t="str">
        <f t="shared" si="11"/>
        <v>T</v>
      </c>
      <c r="P24" s="220" t="str">
        <f t="shared" si="11"/>
        <v>M000000031</v>
      </c>
      <c r="Q24" s="220">
        <f t="shared" si="11"/>
        <v>100</v>
      </c>
      <c r="R24" s="220">
        <f t="shared" si="11"/>
        <v>0</v>
      </c>
      <c r="S24" s="220">
        <f t="shared" si="13"/>
        <v>6</v>
      </c>
      <c r="T24" s="220">
        <f t="shared" si="13"/>
      </c>
      <c r="U24" s="220" t="str">
        <f t="shared" si="13"/>
        <v> </v>
      </c>
      <c r="V24" s="220" t="str">
        <f t="shared" si="13"/>
        <v> </v>
      </c>
      <c r="W24" s="220" t="str">
        <f t="shared" si="13"/>
        <v> </v>
      </c>
      <c r="X24" s="220" t="str">
        <f t="shared" si="13"/>
        <v>114 STREET NAME</v>
      </c>
      <c r="Y24" s="220" t="str">
        <f t="shared" si="13"/>
        <v> </v>
      </c>
      <c r="Z24" s="220" t="str">
        <f t="shared" si="13"/>
        <v>TOWN </v>
      </c>
      <c r="AA24" s="220" t="str">
        <f t="shared" si="13"/>
        <v>MA</v>
      </c>
      <c r="AB24" s="220" t="str">
        <f t="shared" si="13"/>
        <v>99999</v>
      </c>
      <c r="AC24" s="220" t="str">
        <f t="shared" si="13"/>
        <v> </v>
      </c>
      <c r="AD24" s="220" t="str">
        <f t="shared" si="13"/>
        <v> </v>
      </c>
    </row>
    <row r="25" spans="1:30" ht="12">
      <c r="A25" s="130" t="s">
        <v>673</v>
      </c>
      <c r="B25" s="220" t="str">
        <f t="shared" si="14"/>
        <v>LDCDUNS##</v>
      </c>
      <c r="C25" s="220" t="str">
        <f t="shared" si="11"/>
        <v>SUPDUNS##</v>
      </c>
      <c r="D25" s="221">
        <f t="shared" si="11"/>
        <v>35979</v>
      </c>
      <c r="E25" s="220" t="str">
        <f t="shared" si="11"/>
        <v> </v>
      </c>
      <c r="F25" s="224" t="str">
        <f t="shared" si="11"/>
        <v>E</v>
      </c>
      <c r="G25" s="220" t="str">
        <f t="shared" si="11"/>
        <v>S0000000000017</v>
      </c>
      <c r="H25" s="220" t="str">
        <f t="shared" si="11"/>
        <v>D0000000000017</v>
      </c>
      <c r="I25" s="220" t="str">
        <f t="shared" si="11"/>
        <v>WIGG</v>
      </c>
      <c r="J25" s="221">
        <f t="shared" si="11"/>
        <v>35985</v>
      </c>
      <c r="K25" s="220" t="str">
        <f t="shared" si="11"/>
        <v>P</v>
      </c>
      <c r="L25" s="220" t="str">
        <f t="shared" si="11"/>
        <v> </v>
      </c>
      <c r="M25" s="220" t="str">
        <f t="shared" si="11"/>
        <v> </v>
      </c>
      <c r="N25" s="220" t="str">
        <f t="shared" si="11"/>
        <v> </v>
      </c>
      <c r="O25" s="220" t="str">
        <f t="shared" si="11"/>
        <v>T</v>
      </c>
      <c r="P25" s="220" t="str">
        <f t="shared" si="11"/>
        <v>M000000032</v>
      </c>
      <c r="Q25" s="220">
        <f t="shared" si="11"/>
        <v>100</v>
      </c>
      <c r="R25" s="220">
        <f t="shared" si="11"/>
        <v>0</v>
      </c>
      <c r="S25" s="220">
        <f t="shared" si="13"/>
        <v>6</v>
      </c>
      <c r="T25" s="220">
        <f t="shared" si="13"/>
      </c>
      <c r="U25" s="220" t="str">
        <f t="shared" si="13"/>
        <v> </v>
      </c>
      <c r="V25" s="220" t="str">
        <f t="shared" si="13"/>
        <v> </v>
      </c>
      <c r="W25" s="220" t="str">
        <f t="shared" si="13"/>
        <v> </v>
      </c>
      <c r="X25" s="220" t="str">
        <f t="shared" si="13"/>
        <v>114 STREET NAME</v>
      </c>
      <c r="Y25" s="220" t="str">
        <f t="shared" si="13"/>
        <v> </v>
      </c>
      <c r="Z25" s="220" t="str">
        <f t="shared" si="13"/>
        <v>TOWN </v>
      </c>
      <c r="AA25" s="220" t="str">
        <f t="shared" si="13"/>
        <v>MA</v>
      </c>
      <c r="AB25" s="220" t="str">
        <f t="shared" si="13"/>
        <v>99999</v>
      </c>
      <c r="AC25" s="220" t="str">
        <f t="shared" si="13"/>
        <v> </v>
      </c>
      <c r="AD25" s="220" t="str">
        <f t="shared" si="13"/>
        <v> </v>
      </c>
    </row>
    <row r="26" spans="1:30" ht="12">
      <c r="A26" s="130" t="s">
        <v>674</v>
      </c>
      <c r="B26" s="220" t="str">
        <f t="shared" si="14"/>
        <v>LDCDUNS##</v>
      </c>
      <c r="C26" s="220" t="str">
        <f t="shared" si="11"/>
        <v>SUPDUNS##</v>
      </c>
      <c r="D26" s="221">
        <f t="shared" si="11"/>
        <v>35979</v>
      </c>
      <c r="E26" s="220" t="str">
        <f t="shared" si="11"/>
        <v> </v>
      </c>
      <c r="F26" s="224" t="str">
        <f t="shared" si="11"/>
        <v>E</v>
      </c>
      <c r="G26" s="220" t="str">
        <f t="shared" si="11"/>
        <v>S0000000000018</v>
      </c>
      <c r="H26" s="220" t="str">
        <f t="shared" si="11"/>
        <v>D0000000000018</v>
      </c>
      <c r="I26" s="220" t="str">
        <f t="shared" si="11"/>
        <v>TURC</v>
      </c>
      <c r="J26" s="221">
        <f t="shared" si="11"/>
        <v>35985</v>
      </c>
      <c r="K26" s="220" t="str">
        <f t="shared" si="11"/>
        <v>C</v>
      </c>
      <c r="L26" s="220" t="str">
        <f t="shared" si="11"/>
        <v> </v>
      </c>
      <c r="M26" s="220" t="str">
        <f t="shared" si="11"/>
        <v>G00</v>
      </c>
      <c r="N26" s="220" t="str">
        <f t="shared" si="11"/>
        <v>G000001</v>
      </c>
      <c r="O26" s="220" t="str">
        <f t="shared" si="11"/>
        <v>D</v>
      </c>
      <c r="P26" s="220" t="str">
        <f t="shared" si="11"/>
        <v>M000000033</v>
      </c>
      <c r="Q26" s="220">
        <f t="shared" si="11"/>
        <v>100</v>
      </c>
      <c r="R26" s="220">
        <f t="shared" si="11"/>
        <v>0</v>
      </c>
      <c r="S26" s="220">
        <f t="shared" si="13"/>
        <v>6</v>
      </c>
      <c r="T26" s="220" t="str">
        <f t="shared" si="13"/>
        <v>Y</v>
      </c>
      <c r="U26" s="220" t="str">
        <f t="shared" si="13"/>
        <v> </v>
      </c>
      <c r="V26" s="220" t="str">
        <f t="shared" si="13"/>
        <v> </v>
      </c>
      <c r="W26" s="220" t="str">
        <f t="shared" si="13"/>
        <v> </v>
      </c>
      <c r="X26" s="220" t="str">
        <f t="shared" si="13"/>
        <v>115 STREET NAME</v>
      </c>
      <c r="Y26" s="220" t="str">
        <f t="shared" si="13"/>
        <v> </v>
      </c>
      <c r="Z26" s="220" t="str">
        <f t="shared" si="13"/>
        <v>TOWN </v>
      </c>
      <c r="AA26" s="220" t="str">
        <f t="shared" si="13"/>
        <v>MA</v>
      </c>
      <c r="AB26" s="220" t="str">
        <f t="shared" si="13"/>
        <v>99999</v>
      </c>
      <c r="AC26" s="220" t="str">
        <f t="shared" si="13"/>
        <v> </v>
      </c>
      <c r="AD26" s="220" t="str">
        <f t="shared" si="13"/>
        <v> </v>
      </c>
    </row>
    <row r="27" spans="1:30" ht="12">
      <c r="A27" s="130" t="s">
        <v>675</v>
      </c>
      <c r="B27" s="220" t="str">
        <f t="shared" si="14"/>
        <v>LDCDUNS##</v>
      </c>
      <c r="C27" s="220" t="str">
        <f t="shared" si="11"/>
        <v>SUPDUNS##</v>
      </c>
      <c r="D27" s="221">
        <f t="shared" si="11"/>
        <v>35979</v>
      </c>
      <c r="E27" s="220" t="str">
        <f t="shared" si="11"/>
        <v> </v>
      </c>
      <c r="F27" s="224" t="str">
        <f t="shared" si="11"/>
        <v>E</v>
      </c>
      <c r="G27" s="220" t="str">
        <f t="shared" si="11"/>
        <v>S0000000000019</v>
      </c>
      <c r="H27" s="220" t="str">
        <f t="shared" si="11"/>
        <v>D0000000000019</v>
      </c>
      <c r="I27" s="220" t="str">
        <f t="shared" si="11"/>
        <v>JONE</v>
      </c>
      <c r="J27" s="221">
        <f t="shared" si="11"/>
        <v>35985</v>
      </c>
      <c r="K27" s="220" t="str">
        <f t="shared" si="11"/>
        <v>C</v>
      </c>
      <c r="L27" s="220" t="str">
        <f t="shared" si="11"/>
        <v> </v>
      </c>
      <c r="M27" s="220" t="str">
        <f t="shared" si="11"/>
        <v>U99</v>
      </c>
      <c r="N27" s="220" t="str">
        <f t="shared" si="11"/>
        <v>U000001</v>
      </c>
      <c r="O27" s="220" t="str">
        <f t="shared" si="11"/>
        <v>L</v>
      </c>
      <c r="P27" s="220" t="str">
        <f t="shared" si="11"/>
        <v>U000000003</v>
      </c>
      <c r="Q27" s="220">
        <f t="shared" si="11"/>
        <v>100</v>
      </c>
      <c r="R27" s="220">
        <f t="shared" si="11"/>
        <v>0</v>
      </c>
      <c r="S27" s="220">
        <f t="shared" si="13"/>
        <v>6</v>
      </c>
      <c r="T27" s="220" t="str">
        <f t="shared" si="13"/>
        <v>Y</v>
      </c>
      <c r="U27" s="220" t="str">
        <f t="shared" si="13"/>
        <v> </v>
      </c>
      <c r="V27" s="220" t="str">
        <f t="shared" si="13"/>
        <v> </v>
      </c>
      <c r="W27" s="220" t="str">
        <f t="shared" si="13"/>
        <v> </v>
      </c>
      <c r="X27" s="220" t="str">
        <f t="shared" si="13"/>
        <v>116 STREET NAME</v>
      </c>
      <c r="Y27" s="220" t="str">
        <f t="shared" si="13"/>
        <v> </v>
      </c>
      <c r="Z27" s="220" t="str">
        <f t="shared" si="13"/>
        <v>TOWN </v>
      </c>
      <c r="AA27" s="220" t="str">
        <f t="shared" si="13"/>
        <v>MA</v>
      </c>
      <c r="AB27" s="220" t="str">
        <f t="shared" si="13"/>
        <v>99999</v>
      </c>
      <c r="AC27" s="220" t="str">
        <f t="shared" si="13"/>
        <v> </v>
      </c>
      <c r="AD27" s="220" t="str">
        <f t="shared" si="13"/>
        <v> </v>
      </c>
    </row>
    <row r="28" spans="1:30" ht="12">
      <c r="A28" s="130" t="s">
        <v>676</v>
      </c>
      <c r="B28" s="220" t="str">
        <f t="shared" si="14"/>
        <v>LDCDUNS##</v>
      </c>
      <c r="C28" s="220" t="str">
        <f t="shared" si="11"/>
        <v>SUPDUNS##</v>
      </c>
      <c r="D28" s="221">
        <f t="shared" si="11"/>
        <v>35979</v>
      </c>
      <c r="E28" s="220" t="str">
        <f t="shared" si="11"/>
        <v> </v>
      </c>
      <c r="F28" s="224" t="str">
        <f t="shared" si="11"/>
        <v>E</v>
      </c>
      <c r="G28" s="220" t="str">
        <f t="shared" si="11"/>
        <v>S0000000000020</v>
      </c>
      <c r="H28" s="220" t="str">
        <f t="shared" si="11"/>
        <v>D0000000000020</v>
      </c>
      <c r="I28" s="220" t="str">
        <f t="shared" si="11"/>
        <v>EAST</v>
      </c>
      <c r="J28" s="221">
        <f t="shared" si="11"/>
        <v>35998</v>
      </c>
      <c r="K28" s="220" t="str">
        <f t="shared" si="11"/>
        <v>C</v>
      </c>
      <c r="L28" s="220" t="str">
        <f t="shared" si="11"/>
        <v> </v>
      </c>
      <c r="M28" s="220" t="str">
        <f t="shared" si="11"/>
        <v>R01</v>
      </c>
      <c r="N28" s="220" t="str">
        <f t="shared" si="11"/>
        <v>R000001</v>
      </c>
      <c r="O28" s="220" t="str">
        <f t="shared" si="11"/>
        <v>E</v>
      </c>
      <c r="P28" s="220" t="str">
        <f t="shared" si="11"/>
        <v>M000000036</v>
      </c>
      <c r="Q28" s="220">
        <f t="shared" si="11"/>
        <v>100</v>
      </c>
      <c r="R28" s="220">
        <f t="shared" si="11"/>
        <v>0</v>
      </c>
      <c r="S28" s="220">
        <f t="shared" si="13"/>
        <v>15</v>
      </c>
      <c r="T28" s="220" t="str">
        <f t="shared" si="13"/>
        <v>N</v>
      </c>
      <c r="U28" s="220" t="str">
        <f t="shared" si="13"/>
        <v> </v>
      </c>
      <c r="V28" s="220" t="str">
        <f t="shared" si="13"/>
        <v> </v>
      </c>
      <c r="W28" s="220" t="str">
        <f t="shared" si="13"/>
        <v> </v>
      </c>
      <c r="X28" s="220" t="str">
        <f t="shared" si="13"/>
        <v>117 STREET NAME</v>
      </c>
      <c r="Y28" s="220" t="str">
        <f t="shared" si="13"/>
        <v> </v>
      </c>
      <c r="Z28" s="220" t="str">
        <f t="shared" si="13"/>
        <v>TOWN </v>
      </c>
      <c r="AA28" s="220" t="str">
        <f t="shared" si="13"/>
        <v>MA</v>
      </c>
      <c r="AB28" s="220" t="str">
        <f t="shared" si="13"/>
        <v>99999</v>
      </c>
      <c r="AC28" s="220" t="str">
        <f t="shared" si="13"/>
        <v> </v>
      </c>
      <c r="AD28" s="220" t="str">
        <f t="shared" si="13"/>
        <v> </v>
      </c>
    </row>
    <row r="29" spans="2:6" ht="12.75">
      <c r="B29" s="129"/>
      <c r="C29" s="129"/>
      <c r="F29" s="175"/>
    </row>
    <row r="30" spans="2:6" ht="12.75">
      <c r="B30" s="129"/>
      <c r="C30" s="129"/>
      <c r="F30" s="175"/>
    </row>
    <row r="31" spans="2:6" ht="12.75">
      <c r="B31" s="129"/>
      <c r="C31" s="129"/>
      <c r="F31" s="175"/>
    </row>
    <row r="32" spans="2:6" ht="15.75">
      <c r="B32" s="219" t="s">
        <v>677</v>
      </c>
      <c r="C32" s="129"/>
      <c r="F32" s="175"/>
    </row>
    <row r="33" spans="1:71" s="210" customFormat="1" ht="11.25" hidden="1">
      <c r="A33" s="136" t="s">
        <v>618</v>
      </c>
      <c r="B33" s="210">
        <v>1</v>
      </c>
      <c r="C33" s="210">
        <v>2</v>
      </c>
      <c r="D33" s="210">
        <v>3</v>
      </c>
      <c r="E33" s="210">
        <v>4</v>
      </c>
      <c r="F33" s="210">
        <v>5</v>
      </c>
      <c r="G33" s="210">
        <v>6</v>
      </c>
      <c r="H33" s="210">
        <v>7</v>
      </c>
      <c r="I33" s="210">
        <v>8</v>
      </c>
      <c r="J33" s="210">
        <v>9</v>
      </c>
      <c r="K33" s="210">
        <v>10</v>
      </c>
      <c r="L33" s="210">
        <v>11</v>
      </c>
      <c r="M33" s="210">
        <v>12</v>
      </c>
      <c r="N33" s="210">
        <v>13</v>
      </c>
      <c r="O33" s="210">
        <v>14</v>
      </c>
      <c r="P33" s="210">
        <v>15</v>
      </c>
      <c r="Q33" s="210">
        <v>16</v>
      </c>
      <c r="R33" s="210">
        <v>11</v>
      </c>
      <c r="S33" s="210">
        <v>12</v>
      </c>
      <c r="T33" s="210">
        <v>13</v>
      </c>
      <c r="U33" s="210">
        <v>14</v>
      </c>
      <c r="V33" s="210">
        <v>15</v>
      </c>
      <c r="W33" s="210">
        <v>16</v>
      </c>
      <c r="X33" s="210">
        <v>11</v>
      </c>
      <c r="Y33" s="210">
        <v>12</v>
      </c>
      <c r="Z33" s="210">
        <v>13</v>
      </c>
      <c r="AA33" s="210">
        <v>14</v>
      </c>
      <c r="AB33" s="210">
        <v>15</v>
      </c>
      <c r="AC33" s="210">
        <v>16</v>
      </c>
      <c r="AD33" s="210">
        <v>11</v>
      </c>
      <c r="AE33" s="210">
        <v>12</v>
      </c>
      <c r="AF33" s="210">
        <v>13</v>
      </c>
      <c r="AG33" s="210">
        <v>14</v>
      </c>
      <c r="AH33" s="210">
        <v>15</v>
      </c>
      <c r="AI33" s="210">
        <v>16</v>
      </c>
      <c r="AJ33" s="210">
        <v>11</v>
      </c>
      <c r="AK33" s="210">
        <v>12</v>
      </c>
      <c r="AL33" s="210">
        <v>13</v>
      </c>
      <c r="AM33" s="210">
        <v>14</v>
      </c>
      <c r="AN33" s="210">
        <v>15</v>
      </c>
      <c r="AO33" s="210">
        <v>16</v>
      </c>
      <c r="AP33" s="210">
        <v>11</v>
      </c>
      <c r="AQ33" s="210">
        <v>12</v>
      </c>
      <c r="AR33" s="210">
        <v>13</v>
      </c>
      <c r="AS33" s="210">
        <v>14</v>
      </c>
      <c r="AT33" s="210">
        <v>15</v>
      </c>
      <c r="AU33" s="210">
        <v>16</v>
      </c>
      <c r="AV33" s="210">
        <v>11</v>
      </c>
      <c r="AW33" s="210">
        <v>12</v>
      </c>
      <c r="AX33" s="210">
        <v>13</v>
      </c>
      <c r="AY33" s="210">
        <v>14</v>
      </c>
      <c r="AZ33" s="210">
        <v>15</v>
      </c>
      <c r="BA33" s="210">
        <v>16</v>
      </c>
      <c r="BB33" s="210">
        <v>11</v>
      </c>
      <c r="BC33" s="210">
        <v>12</v>
      </c>
      <c r="BD33" s="210">
        <v>13</v>
      </c>
      <c r="BE33" s="210">
        <v>14</v>
      </c>
      <c r="BF33" s="210">
        <v>15</v>
      </c>
      <c r="BG33" s="210">
        <v>16</v>
      </c>
      <c r="BH33" s="210">
        <v>11</v>
      </c>
      <c r="BI33" s="210">
        <v>12</v>
      </c>
      <c r="BJ33" s="210">
        <v>13</v>
      </c>
      <c r="BK33" s="210">
        <v>14</v>
      </c>
      <c r="BL33" s="210">
        <v>15</v>
      </c>
      <c r="BM33" s="210">
        <v>16</v>
      </c>
      <c r="BN33" s="210">
        <v>11</v>
      </c>
      <c r="BO33" s="210">
        <v>12</v>
      </c>
      <c r="BP33" s="210">
        <v>13</v>
      </c>
      <c r="BQ33" s="210">
        <v>14</v>
      </c>
      <c r="BR33" s="210">
        <v>15</v>
      </c>
      <c r="BS33" s="210">
        <v>16</v>
      </c>
    </row>
    <row r="34" spans="1:71" s="205" customFormat="1" ht="10.5" hidden="1">
      <c r="A34" s="209" t="s">
        <v>619</v>
      </c>
      <c r="B34" s="205">
        <v>7</v>
      </c>
      <c r="C34" s="205">
        <v>12</v>
      </c>
      <c r="D34" s="205">
        <v>8</v>
      </c>
      <c r="E34" s="205">
        <v>11</v>
      </c>
      <c r="F34" s="206">
        <v>13</v>
      </c>
      <c r="G34" s="205">
        <v>10</v>
      </c>
      <c r="H34" s="205">
        <v>9</v>
      </c>
      <c r="I34" s="205">
        <v>14</v>
      </c>
      <c r="J34" s="205">
        <v>15</v>
      </c>
      <c r="K34" s="205">
        <v>16</v>
      </c>
      <c r="L34" s="205">
        <v>21</v>
      </c>
      <c r="M34" s="205">
        <v>22</v>
      </c>
      <c r="N34" s="205">
        <v>20</v>
      </c>
      <c r="O34" s="205">
        <v>25</v>
      </c>
      <c r="P34" s="205">
        <v>17</v>
      </c>
      <c r="Q34" s="205">
        <v>18</v>
      </c>
      <c r="R34" s="205">
        <f aca="true" t="shared" si="15" ref="R34:AA34">L34+6</f>
        <v>27</v>
      </c>
      <c r="S34" s="205">
        <f t="shared" si="15"/>
        <v>28</v>
      </c>
      <c r="T34" s="205">
        <f t="shared" si="15"/>
        <v>26</v>
      </c>
      <c r="U34" s="205">
        <f t="shared" si="15"/>
        <v>31</v>
      </c>
      <c r="V34" s="205">
        <f t="shared" si="15"/>
        <v>23</v>
      </c>
      <c r="W34" s="205">
        <f t="shared" si="15"/>
        <v>24</v>
      </c>
      <c r="X34" s="205">
        <f t="shared" si="15"/>
        <v>33</v>
      </c>
      <c r="Y34" s="205">
        <f t="shared" si="15"/>
        <v>34</v>
      </c>
      <c r="Z34" s="205">
        <f t="shared" si="15"/>
        <v>32</v>
      </c>
      <c r="AA34" s="205">
        <f t="shared" si="15"/>
        <v>37</v>
      </c>
      <c r="AB34" s="205">
        <f aca="true" t="shared" si="16" ref="AB34:AK34">V34+6</f>
        <v>29</v>
      </c>
      <c r="AC34" s="205">
        <f t="shared" si="16"/>
        <v>30</v>
      </c>
      <c r="AD34" s="205">
        <f t="shared" si="16"/>
        <v>39</v>
      </c>
      <c r="AE34" s="205">
        <f t="shared" si="16"/>
        <v>40</v>
      </c>
      <c r="AF34" s="205">
        <f t="shared" si="16"/>
        <v>38</v>
      </c>
      <c r="AG34" s="205">
        <f t="shared" si="16"/>
        <v>43</v>
      </c>
      <c r="AH34" s="205">
        <f t="shared" si="16"/>
        <v>35</v>
      </c>
      <c r="AI34" s="205">
        <f t="shared" si="16"/>
        <v>36</v>
      </c>
      <c r="AJ34" s="205">
        <f t="shared" si="16"/>
        <v>45</v>
      </c>
      <c r="AK34" s="205">
        <f t="shared" si="16"/>
        <v>46</v>
      </c>
      <c r="AL34" s="205">
        <f aca="true" t="shared" si="17" ref="AL34:AU34">AF34+6</f>
        <v>44</v>
      </c>
      <c r="AM34" s="205">
        <f t="shared" si="17"/>
        <v>49</v>
      </c>
      <c r="AN34" s="205">
        <f t="shared" si="17"/>
        <v>41</v>
      </c>
      <c r="AO34" s="205">
        <f t="shared" si="17"/>
        <v>42</v>
      </c>
      <c r="AP34" s="205">
        <f t="shared" si="17"/>
        <v>51</v>
      </c>
      <c r="AQ34" s="205">
        <f t="shared" si="17"/>
        <v>52</v>
      </c>
      <c r="AR34" s="205">
        <f t="shared" si="17"/>
        <v>50</v>
      </c>
      <c r="AS34" s="205">
        <f t="shared" si="17"/>
        <v>55</v>
      </c>
      <c r="AT34" s="205">
        <f t="shared" si="17"/>
        <v>47</v>
      </c>
      <c r="AU34" s="205">
        <f t="shared" si="17"/>
        <v>48</v>
      </c>
      <c r="AV34" s="205">
        <f aca="true" t="shared" si="18" ref="AV34:BE34">AP34+6</f>
        <v>57</v>
      </c>
      <c r="AW34" s="205">
        <f t="shared" si="18"/>
        <v>58</v>
      </c>
      <c r="AX34" s="205">
        <f t="shared" si="18"/>
        <v>56</v>
      </c>
      <c r="AY34" s="205">
        <f t="shared" si="18"/>
        <v>61</v>
      </c>
      <c r="AZ34" s="205">
        <f t="shared" si="18"/>
        <v>53</v>
      </c>
      <c r="BA34" s="205">
        <f t="shared" si="18"/>
        <v>54</v>
      </c>
      <c r="BB34" s="205">
        <f t="shared" si="18"/>
        <v>63</v>
      </c>
      <c r="BC34" s="205">
        <f t="shared" si="18"/>
        <v>64</v>
      </c>
      <c r="BD34" s="205">
        <f t="shared" si="18"/>
        <v>62</v>
      </c>
      <c r="BE34" s="205">
        <f t="shared" si="18"/>
        <v>67</v>
      </c>
      <c r="BF34" s="205">
        <f aca="true" t="shared" si="19" ref="BF34:BS34">AZ34+6</f>
        <v>59</v>
      </c>
      <c r="BG34" s="205">
        <f t="shared" si="19"/>
        <v>60</v>
      </c>
      <c r="BH34" s="205">
        <f t="shared" si="19"/>
        <v>69</v>
      </c>
      <c r="BI34" s="205">
        <f t="shared" si="19"/>
        <v>70</v>
      </c>
      <c r="BJ34" s="205">
        <f t="shared" si="19"/>
        <v>68</v>
      </c>
      <c r="BK34" s="205">
        <f t="shared" si="19"/>
        <v>73</v>
      </c>
      <c r="BL34" s="205">
        <f t="shared" si="19"/>
        <v>65</v>
      </c>
      <c r="BM34" s="205">
        <f t="shared" si="19"/>
        <v>66</v>
      </c>
      <c r="BN34" s="205">
        <f t="shared" si="19"/>
        <v>75</v>
      </c>
      <c r="BO34" s="205">
        <f t="shared" si="19"/>
        <v>76</v>
      </c>
      <c r="BP34" s="205">
        <f t="shared" si="19"/>
        <v>74</v>
      </c>
      <c r="BQ34" s="205">
        <f t="shared" si="19"/>
        <v>79</v>
      </c>
      <c r="BR34" s="205">
        <f t="shared" si="19"/>
        <v>71</v>
      </c>
      <c r="BS34" s="205">
        <f t="shared" si="19"/>
        <v>72</v>
      </c>
    </row>
    <row r="35" spans="1:71" ht="12">
      <c r="A35" s="130" t="s">
        <v>678</v>
      </c>
      <c r="B35" s="220" t="str">
        <f aca="true" t="shared" si="20" ref="B35:L36">VLOOKUP($A35,Format_6_Table,B$34,FALSE)</f>
        <v>LDCDUNS##</v>
      </c>
      <c r="C35" s="220" t="str">
        <f t="shared" si="20"/>
        <v>D0000000000012</v>
      </c>
      <c r="D35" s="221" t="str">
        <f t="shared" si="20"/>
        <v>SUPDUNS##</v>
      </c>
      <c r="E35" s="220" t="str">
        <f t="shared" si="20"/>
        <v> </v>
      </c>
      <c r="F35" s="220" t="str">
        <f t="shared" si="20"/>
        <v>IBM</v>
      </c>
      <c r="G35" s="220">
        <f t="shared" si="20"/>
        <v>0</v>
      </c>
      <c r="H35" s="224">
        <f t="shared" si="20"/>
        <v>35979</v>
      </c>
      <c r="I35" s="224" t="str">
        <f t="shared" si="20"/>
        <v>G-0</v>
      </c>
      <c r="J35" s="220" t="str">
        <f t="shared" si="20"/>
        <v>D</v>
      </c>
      <c r="K35" s="220" t="str">
        <f t="shared" si="20"/>
        <v>M000000021</v>
      </c>
      <c r="L35" s="226">
        <f t="shared" si="20"/>
        <v>23.511904761904763</v>
      </c>
      <c r="M35" s="224" t="str">
        <f>VLOOKUP($A35,Format_6_Table,M$34,FALSE)</f>
        <v>KW</v>
      </c>
      <c r="N35" s="222">
        <f aca="true" t="shared" si="21" ref="N35:W36">VLOOKUP($A35,Format_6_Table,N$34,FALSE)</f>
        <v>15800</v>
      </c>
      <c r="O35" s="220" t="str">
        <f t="shared" si="21"/>
        <v>A</v>
      </c>
      <c r="P35" s="221">
        <f t="shared" si="21"/>
        <v>35955</v>
      </c>
      <c r="Q35" s="221">
        <f t="shared" si="21"/>
        <v>35927</v>
      </c>
      <c r="R35" s="226">
        <f t="shared" si="21"/>
        <v>19.921875</v>
      </c>
      <c r="S35" s="224" t="str">
        <f t="shared" si="21"/>
        <v>KW</v>
      </c>
      <c r="T35" s="222">
        <f t="shared" si="21"/>
        <v>15300</v>
      </c>
      <c r="U35" s="220" t="str">
        <f t="shared" si="21"/>
        <v>A</v>
      </c>
      <c r="V35" s="221">
        <f t="shared" si="21"/>
        <v>35927</v>
      </c>
      <c r="W35" s="221">
        <f t="shared" si="21"/>
        <v>35895</v>
      </c>
      <c r="X35" s="226">
        <f aca="true" t="shared" si="22" ref="X35:AG36">VLOOKUP($A35,Format_6_Table,X$34,FALSE)</f>
        <v>20.13888888888889</v>
      </c>
      <c r="Y35" s="224" t="str">
        <f t="shared" si="22"/>
        <v>KW</v>
      </c>
      <c r="Z35" s="222">
        <f t="shared" si="22"/>
        <v>14500</v>
      </c>
      <c r="AA35" s="220" t="str">
        <f t="shared" si="22"/>
        <v>A</v>
      </c>
      <c r="AB35" s="221">
        <f t="shared" si="22"/>
        <v>35895</v>
      </c>
      <c r="AC35" s="221">
        <f t="shared" si="22"/>
        <v>35865</v>
      </c>
      <c r="AD35" s="226">
        <f t="shared" si="22"/>
        <v>18.88888888888889</v>
      </c>
      <c r="AE35" s="224" t="str">
        <f t="shared" si="22"/>
        <v>KW</v>
      </c>
      <c r="AF35" s="222">
        <f t="shared" si="22"/>
        <v>13600</v>
      </c>
      <c r="AG35" s="220" t="str">
        <f t="shared" si="22"/>
        <v>A</v>
      </c>
      <c r="AH35" s="221">
        <f aca="true" t="shared" si="23" ref="AH35:AQ36">VLOOKUP($A35,Format_6_Table,AH$34,FALSE)</f>
        <v>35865</v>
      </c>
      <c r="AI35" s="221">
        <f t="shared" si="23"/>
        <v>35835</v>
      </c>
      <c r="AJ35" s="226">
        <f t="shared" si="23"/>
        <v>19.23611111111111</v>
      </c>
      <c r="AK35" s="224" t="str">
        <f t="shared" si="23"/>
        <v>KW</v>
      </c>
      <c r="AL35" s="222">
        <f t="shared" si="23"/>
        <v>13850</v>
      </c>
      <c r="AM35" s="220" t="str">
        <f t="shared" si="23"/>
        <v>A</v>
      </c>
      <c r="AN35" s="221">
        <f t="shared" si="23"/>
        <v>35835</v>
      </c>
      <c r="AO35" s="221">
        <f t="shared" si="23"/>
        <v>35805</v>
      </c>
      <c r="AP35" s="226">
        <f t="shared" si="23"/>
        <v>19.583333333333332</v>
      </c>
      <c r="AQ35" s="224" t="str">
        <f t="shared" si="23"/>
        <v>KW</v>
      </c>
      <c r="AR35" s="222">
        <f aca="true" t="shared" si="24" ref="AR35:BA36">VLOOKUP($A35,Format_6_Table,AR$34,FALSE)</f>
        <v>14100</v>
      </c>
      <c r="AS35" s="220" t="str">
        <f t="shared" si="24"/>
        <v>A</v>
      </c>
      <c r="AT35" s="221">
        <f t="shared" si="24"/>
        <v>35805</v>
      </c>
      <c r="AU35" s="221">
        <f t="shared" si="24"/>
        <v>35775</v>
      </c>
      <c r="AV35" s="226">
        <f t="shared" si="24"/>
        <v>20.833333333333332</v>
      </c>
      <c r="AW35" s="224" t="str">
        <f t="shared" si="24"/>
        <v>KW</v>
      </c>
      <c r="AX35" s="222">
        <f t="shared" si="24"/>
        <v>15000</v>
      </c>
      <c r="AY35" s="220" t="str">
        <f t="shared" si="24"/>
        <v>A</v>
      </c>
      <c r="AZ35" s="221">
        <f t="shared" si="24"/>
        <v>35775</v>
      </c>
      <c r="BA35" s="221">
        <f t="shared" si="24"/>
        <v>35745</v>
      </c>
      <c r="BB35" s="226">
        <f aca="true" t="shared" si="25" ref="BB35:BQ36">VLOOKUP($A35,Format_6_Table,BB$34,FALSE)</f>
        <v>21.11111111111111</v>
      </c>
      <c r="BC35" s="224" t="str">
        <f t="shared" si="25"/>
        <v>KW</v>
      </c>
      <c r="BD35" s="222">
        <f t="shared" si="25"/>
        <v>15200</v>
      </c>
      <c r="BE35" s="220" t="str">
        <f t="shared" si="25"/>
        <v>A</v>
      </c>
      <c r="BF35" s="221">
        <f t="shared" si="25"/>
        <v>35745</v>
      </c>
      <c r="BG35" s="221">
        <f t="shared" si="25"/>
        <v>35715</v>
      </c>
      <c r="BH35" s="226">
        <f t="shared" si="25"/>
        <v>25.694444444444443</v>
      </c>
      <c r="BI35" s="224" t="str">
        <f t="shared" si="25"/>
        <v>KW</v>
      </c>
      <c r="BJ35" s="222">
        <f t="shared" si="25"/>
        <v>18500</v>
      </c>
      <c r="BK35" s="220" t="str">
        <f t="shared" si="25"/>
        <v>A</v>
      </c>
      <c r="BL35" s="221">
        <f t="shared" si="25"/>
        <v>35715</v>
      </c>
      <c r="BM35" s="221">
        <f t="shared" si="25"/>
        <v>35685</v>
      </c>
      <c r="BN35" s="226">
        <f t="shared" si="25"/>
        <v>32.05128205128205</v>
      </c>
      <c r="BO35" s="224" t="str">
        <f t="shared" si="25"/>
        <v>KW</v>
      </c>
      <c r="BP35" s="222">
        <f t="shared" si="25"/>
        <v>20000</v>
      </c>
      <c r="BQ35" s="220" t="str">
        <f t="shared" si="25"/>
        <v>A</v>
      </c>
      <c r="BR35" s="221">
        <f aca="true" t="shared" si="26" ref="BP35:BS36">VLOOKUP($A35,Format_6_Table,BR$34,FALSE)</f>
        <v>35685</v>
      </c>
      <c r="BS35" s="221">
        <f t="shared" si="26"/>
        <v>35659</v>
      </c>
    </row>
    <row r="36" spans="1:71" ht="12">
      <c r="A36" s="130" t="s">
        <v>679</v>
      </c>
      <c r="B36" s="220" t="str">
        <f aca="true" t="shared" si="27" ref="B36:G36">VLOOKUP($A36,Format_6_Table,B$34,FALSE)</f>
        <v>LDCDUNS##</v>
      </c>
      <c r="C36" s="220" t="str">
        <f t="shared" si="27"/>
        <v>D0000000000012</v>
      </c>
      <c r="D36" s="221" t="str">
        <f t="shared" si="27"/>
        <v>SUPDUNS##</v>
      </c>
      <c r="E36" s="220" t="str">
        <f t="shared" si="27"/>
        <v> </v>
      </c>
      <c r="F36" s="220" t="str">
        <f t="shared" si="27"/>
        <v>IBM</v>
      </c>
      <c r="G36" s="220">
        <f t="shared" si="27"/>
        <v>0</v>
      </c>
      <c r="H36" s="224">
        <f t="shared" si="20"/>
        <v>35979</v>
      </c>
      <c r="I36" s="224" t="str">
        <f t="shared" si="20"/>
        <v>G-1</v>
      </c>
      <c r="J36" s="220" t="str">
        <f t="shared" si="20"/>
        <v>D</v>
      </c>
      <c r="K36" s="220" t="str">
        <f t="shared" si="20"/>
        <v>M000000022</v>
      </c>
      <c r="L36" s="226">
        <f t="shared" si="20"/>
        <v>18.00595238095238</v>
      </c>
      <c r="M36" s="224" t="str">
        <f>VLOOKUP($A36,Format_6_Table,M$34,FALSE)</f>
        <v>KW</v>
      </c>
      <c r="N36" s="222">
        <f t="shared" si="21"/>
        <v>12100</v>
      </c>
      <c r="O36" s="220" t="str">
        <f t="shared" si="21"/>
        <v>A</v>
      </c>
      <c r="P36" s="221">
        <f t="shared" si="21"/>
        <v>35955</v>
      </c>
      <c r="Q36" s="221">
        <f t="shared" si="21"/>
        <v>35927</v>
      </c>
      <c r="R36" s="226">
        <f t="shared" si="21"/>
        <v>13.28125</v>
      </c>
      <c r="S36" s="224" t="str">
        <f t="shared" si="21"/>
        <v>KW</v>
      </c>
      <c r="T36" s="222">
        <f t="shared" si="21"/>
        <v>10200</v>
      </c>
      <c r="U36" s="220" t="str">
        <f t="shared" si="21"/>
        <v>A</v>
      </c>
      <c r="V36" s="221">
        <f t="shared" si="21"/>
        <v>35927</v>
      </c>
      <c r="W36" s="221">
        <f t="shared" si="21"/>
        <v>35895</v>
      </c>
      <c r="X36" s="226">
        <f t="shared" si="22"/>
        <v>12.847222222222221</v>
      </c>
      <c r="Y36" s="224" t="str">
        <f t="shared" si="22"/>
        <v>KW</v>
      </c>
      <c r="Z36" s="222">
        <f t="shared" si="22"/>
        <v>9250</v>
      </c>
      <c r="AA36" s="220" t="str">
        <f t="shared" si="22"/>
        <v>A</v>
      </c>
      <c r="AB36" s="221">
        <f t="shared" si="22"/>
        <v>35895</v>
      </c>
      <c r="AC36" s="221">
        <f t="shared" si="22"/>
        <v>35865</v>
      </c>
      <c r="AD36" s="226">
        <f t="shared" si="22"/>
        <v>12.208333333333334</v>
      </c>
      <c r="AE36" s="224" t="str">
        <f t="shared" si="22"/>
        <v>KW</v>
      </c>
      <c r="AF36" s="222">
        <f t="shared" si="22"/>
        <v>8790</v>
      </c>
      <c r="AG36" s="220" t="str">
        <f t="shared" si="22"/>
        <v>A</v>
      </c>
      <c r="AH36" s="221">
        <f t="shared" si="23"/>
        <v>35865</v>
      </c>
      <c r="AI36" s="221">
        <f t="shared" si="23"/>
        <v>35835</v>
      </c>
      <c r="AJ36" s="226">
        <f t="shared" si="23"/>
        <v>12.5</v>
      </c>
      <c r="AK36" s="224" t="str">
        <f t="shared" si="23"/>
        <v>KW</v>
      </c>
      <c r="AL36" s="222">
        <f t="shared" si="23"/>
        <v>9000</v>
      </c>
      <c r="AM36" s="220" t="str">
        <f t="shared" si="23"/>
        <v>A</v>
      </c>
      <c r="AN36" s="221">
        <f t="shared" si="23"/>
        <v>35835</v>
      </c>
      <c r="AO36" s="221">
        <f t="shared" si="23"/>
        <v>35805</v>
      </c>
      <c r="AP36" s="226">
        <f t="shared" si="23"/>
        <v>12.777777777777779</v>
      </c>
      <c r="AQ36" s="224" t="str">
        <f t="shared" si="23"/>
        <v>KW</v>
      </c>
      <c r="AR36" s="222">
        <f t="shared" si="24"/>
        <v>9200</v>
      </c>
      <c r="AS36" s="220" t="str">
        <f t="shared" si="24"/>
        <v>A</v>
      </c>
      <c r="AT36" s="221">
        <f t="shared" si="24"/>
        <v>35805</v>
      </c>
      <c r="AU36" s="221">
        <f t="shared" si="24"/>
        <v>35775</v>
      </c>
      <c r="AV36" s="226">
        <f t="shared" si="24"/>
        <v>12.916666666666666</v>
      </c>
      <c r="AW36" s="224" t="str">
        <f t="shared" si="24"/>
        <v>KW</v>
      </c>
      <c r="AX36" s="222">
        <f t="shared" si="24"/>
        <v>9300</v>
      </c>
      <c r="AY36" s="220" t="str">
        <f t="shared" si="24"/>
        <v>A</v>
      </c>
      <c r="AZ36" s="221">
        <f t="shared" si="24"/>
        <v>35775</v>
      </c>
      <c r="BA36" s="221">
        <f t="shared" si="24"/>
        <v>35745</v>
      </c>
      <c r="BB36" s="226">
        <f t="shared" si="25"/>
        <v>13.472222222222221</v>
      </c>
      <c r="BC36" s="224" t="str">
        <f t="shared" si="25"/>
        <v>KW</v>
      </c>
      <c r="BD36" s="222">
        <f t="shared" si="25"/>
        <v>9700</v>
      </c>
      <c r="BE36" s="220" t="str">
        <f t="shared" si="25"/>
        <v>A</v>
      </c>
      <c r="BF36" s="221">
        <f t="shared" si="25"/>
        <v>35745</v>
      </c>
      <c r="BG36" s="221">
        <f t="shared" si="25"/>
        <v>35715</v>
      </c>
      <c r="BH36" s="226">
        <f t="shared" si="25"/>
        <v>17.36111111111111</v>
      </c>
      <c r="BI36" s="224" t="str">
        <f t="shared" si="25"/>
        <v>KW</v>
      </c>
      <c r="BJ36" s="222">
        <f t="shared" si="25"/>
        <v>12500</v>
      </c>
      <c r="BK36" s="220" t="str">
        <f t="shared" si="25"/>
        <v>A</v>
      </c>
      <c r="BL36" s="221">
        <f t="shared" si="25"/>
        <v>35715</v>
      </c>
      <c r="BM36" s="221">
        <f t="shared" si="25"/>
        <v>35685</v>
      </c>
      <c r="BN36" s="226">
        <f t="shared" si="25"/>
        <v>26.28205128205128</v>
      </c>
      <c r="BO36" s="224" t="str">
        <f t="shared" si="25"/>
        <v>KW</v>
      </c>
      <c r="BP36" s="222">
        <f t="shared" si="26"/>
        <v>16400</v>
      </c>
      <c r="BQ36" s="220" t="str">
        <f t="shared" si="26"/>
        <v>A</v>
      </c>
      <c r="BR36" s="221">
        <f t="shared" si="26"/>
        <v>35685</v>
      </c>
      <c r="BS36" s="221">
        <f t="shared" si="26"/>
        <v>35659</v>
      </c>
    </row>
  </sheetData>
  <printOptions/>
  <pageMargins left="0.75" right="0.75" top="1" bottom="1" header="0.5" footer="0.5"/>
  <pageSetup fitToHeight="3" horizontalDpi="600" verticalDpi="600" orientation="landscape" scale="45" r:id="rId1"/>
  <headerFooter alignWithMargins="0">
    <oddHeader>&amp;CEBT Test Conditions
&amp;A</oddHeader>
    <oddFooter>&amp;LVersion 5.0&amp;CPage &amp;P&amp;RIssued:  June 25, 1999
</oddFooter>
  </headerFooter>
  <colBreaks count="1" manualBreakCount="1">
    <brk id="20" max="65535" man="1"/>
  </colBreaks>
</worksheet>
</file>

<file path=xl/worksheets/sheet15.xml><?xml version="1.0" encoding="utf-8"?>
<worksheet xmlns="http://schemas.openxmlformats.org/spreadsheetml/2006/main" xmlns:r="http://schemas.openxmlformats.org/officeDocument/2006/relationships">
  <dimension ref="A1:AO62"/>
  <sheetViews>
    <sheetView workbookViewId="0" topLeftCell="S1">
      <selection activeCell="D7" sqref="D7"/>
      <selection activeCell="X24" sqref="X24"/>
    </sheetView>
  </sheetViews>
  <sheetFormatPr defaultColWidth="9.140625" defaultRowHeight="12.75"/>
  <cols>
    <col min="1" max="1" width="10.140625" style="130" hidden="1" customWidth="1"/>
    <col min="2" max="3" width="9.8515625" style="130" customWidth="1"/>
    <col min="4" max="4" width="9.00390625" style="130" customWidth="1"/>
    <col min="5" max="5" width="12.57421875" style="130" customWidth="1"/>
    <col min="6" max="6" width="13.140625" style="130" customWidth="1"/>
    <col min="7" max="8" width="13.421875" style="130" customWidth="1"/>
    <col min="9" max="9" width="5.421875" style="130" customWidth="1"/>
    <col min="10" max="10" width="7.8515625" style="130" customWidth="1"/>
    <col min="11" max="11" width="9.8515625" style="130" customWidth="1"/>
    <col min="12" max="12" width="3.00390625" style="130" customWidth="1"/>
    <col min="13" max="13" width="7.8515625" style="136" customWidth="1"/>
    <col min="14" max="14" width="7.8515625" style="130" customWidth="1"/>
    <col min="15" max="15" width="3.57421875" style="130" customWidth="1"/>
    <col min="16" max="16" width="9.8515625" style="130" customWidth="1"/>
    <col min="17" max="17" width="7.8515625" style="130" customWidth="1"/>
    <col min="18" max="18" width="7.00390625" style="130" customWidth="1"/>
    <col min="19" max="20" width="3.00390625" style="130" customWidth="1"/>
    <col min="21" max="21" width="13.421875" style="130" customWidth="1"/>
    <col min="22" max="22" width="3.00390625" style="130" customWidth="1"/>
    <col min="23" max="23" width="10.140625" style="130" customWidth="1"/>
    <col min="24" max="24" width="16.421875" style="130" customWidth="1"/>
    <col min="25" max="25" width="3.00390625" style="130" customWidth="1"/>
    <col min="26" max="26" width="9.140625" style="130" customWidth="1"/>
    <col min="27" max="27" width="4.8515625" style="130" customWidth="1"/>
    <col min="28" max="28" width="7.8515625" style="130" customWidth="1"/>
    <col min="29" max="29" width="3.7109375" style="130" customWidth="1"/>
    <col min="30" max="30" width="7.140625" style="130" customWidth="1"/>
    <col min="31" max="31" width="4.00390625" style="130" customWidth="1"/>
    <col min="32" max="32" width="4.8515625" style="130" customWidth="1"/>
    <col min="33" max="39" width="4.00390625" style="130" customWidth="1"/>
    <col min="40" max="40" width="4.8515625" style="130" customWidth="1"/>
    <col min="41" max="41" width="15.7109375" style="130" customWidth="1"/>
    <col min="42" max="16384" width="8.8515625" style="130" customWidth="1"/>
  </cols>
  <sheetData>
    <row r="1" ht="15.75">
      <c r="B1" s="219" t="s">
        <v>617</v>
      </c>
    </row>
    <row r="2" spans="1:30" s="210" customFormat="1" ht="11.25" hidden="1">
      <c r="A2" s="136" t="s">
        <v>618</v>
      </c>
      <c r="B2" s="210">
        <v>1</v>
      </c>
      <c r="C2" s="210">
        <v>2</v>
      </c>
      <c r="D2" s="210">
        <v>3</v>
      </c>
      <c r="E2" s="210">
        <v>4</v>
      </c>
      <c r="F2" s="210">
        <v>5</v>
      </c>
      <c r="G2" s="210">
        <v>6</v>
      </c>
      <c r="H2" s="210">
        <v>7</v>
      </c>
      <c r="I2" s="210">
        <v>8</v>
      </c>
      <c r="J2" s="210">
        <v>9</v>
      </c>
      <c r="K2" s="210">
        <v>10</v>
      </c>
      <c r="L2" s="210">
        <v>11</v>
      </c>
      <c r="M2" s="210">
        <v>12</v>
      </c>
      <c r="N2" s="210">
        <v>13</v>
      </c>
      <c r="O2" s="210">
        <v>14</v>
      </c>
      <c r="P2" s="210">
        <v>15</v>
      </c>
      <c r="Q2" s="210">
        <v>16</v>
      </c>
      <c r="R2" s="210">
        <v>17</v>
      </c>
      <c r="S2" s="210">
        <v>18</v>
      </c>
      <c r="T2" s="210">
        <v>19</v>
      </c>
      <c r="U2" s="210">
        <v>20</v>
      </c>
      <c r="V2" s="210">
        <v>21</v>
      </c>
      <c r="W2" s="210">
        <v>22</v>
      </c>
      <c r="X2" s="210">
        <v>23</v>
      </c>
      <c r="Y2" s="210">
        <v>24</v>
      </c>
      <c r="Z2" s="210">
        <v>25</v>
      </c>
      <c r="AA2" s="210">
        <v>26</v>
      </c>
      <c r="AB2" s="210">
        <v>27</v>
      </c>
      <c r="AC2" s="210">
        <v>28</v>
      </c>
      <c r="AD2" s="210">
        <v>29</v>
      </c>
    </row>
    <row r="3" spans="1:30" s="205" customFormat="1" ht="10.5" hidden="1">
      <c r="A3" s="209" t="s">
        <v>619</v>
      </c>
      <c r="B3" s="205">
        <v>7</v>
      </c>
      <c r="C3" s="205">
        <v>8</v>
      </c>
      <c r="D3" s="205">
        <v>9</v>
      </c>
      <c r="E3" s="205">
        <v>11</v>
      </c>
      <c r="F3" s="205">
        <v>10</v>
      </c>
      <c r="G3" s="205">
        <v>12</v>
      </c>
      <c r="H3" s="205">
        <v>13</v>
      </c>
      <c r="I3" s="205">
        <v>14</v>
      </c>
      <c r="J3" s="205">
        <v>15</v>
      </c>
      <c r="K3" s="205">
        <v>16</v>
      </c>
      <c r="L3" s="205">
        <v>17</v>
      </c>
      <c r="M3" s="205">
        <v>18</v>
      </c>
      <c r="N3" s="205">
        <v>19</v>
      </c>
      <c r="O3" s="205">
        <v>20</v>
      </c>
      <c r="P3" s="205">
        <v>21</v>
      </c>
      <c r="Q3" s="205">
        <v>22</v>
      </c>
      <c r="R3" s="205">
        <v>23</v>
      </c>
      <c r="S3" s="205">
        <v>24</v>
      </c>
      <c r="T3" s="205">
        <v>25</v>
      </c>
      <c r="U3" s="205">
        <v>26</v>
      </c>
      <c r="V3" s="205">
        <v>27</v>
      </c>
      <c r="W3" s="205">
        <v>28</v>
      </c>
      <c r="X3" s="205">
        <v>29</v>
      </c>
      <c r="Y3" s="205">
        <v>30</v>
      </c>
      <c r="Z3" s="205">
        <v>31</v>
      </c>
      <c r="AA3" s="205">
        <v>32</v>
      </c>
      <c r="AB3" s="205">
        <v>33</v>
      </c>
      <c r="AC3" s="205">
        <v>34</v>
      </c>
      <c r="AD3" s="205">
        <v>35</v>
      </c>
    </row>
    <row r="4" spans="1:30" ht="11.25">
      <c r="A4" s="130" t="s">
        <v>680</v>
      </c>
      <c r="B4" s="71" t="str">
        <f aca="true" t="shared" si="0" ref="B4:K4">VLOOKUP($A4,Format_1_Table,B$3,FALSE)</f>
        <v>LDCDUNS##</v>
      </c>
      <c r="C4" s="71" t="str">
        <f t="shared" si="0"/>
        <v>SUPDUNS##</v>
      </c>
      <c r="D4" s="179">
        <f t="shared" si="0"/>
        <v>35982</v>
      </c>
      <c r="E4" s="71" t="str">
        <f t="shared" si="0"/>
        <v> </v>
      </c>
      <c r="F4" s="38" t="str">
        <f t="shared" si="0"/>
        <v>X</v>
      </c>
      <c r="G4" s="71" t="str">
        <f t="shared" si="0"/>
        <v>S0000000000002</v>
      </c>
      <c r="H4" s="71" t="str">
        <f t="shared" si="0"/>
        <v>D0000000000002</v>
      </c>
      <c r="I4" s="71" t="str">
        <f t="shared" si="0"/>
        <v>SMIT</v>
      </c>
      <c r="J4" s="179" t="str">
        <f t="shared" si="0"/>
        <v> </v>
      </c>
      <c r="K4" s="71" t="str">
        <f t="shared" si="0"/>
        <v> </v>
      </c>
      <c r="L4" s="71" t="str">
        <f aca="true" t="shared" si="1" ref="L4:U4">VLOOKUP($A4,Format_1_Table,L$3,FALSE)</f>
        <v> </v>
      </c>
      <c r="M4" s="71" t="str">
        <f t="shared" si="1"/>
        <v> </v>
      </c>
      <c r="N4" s="71" t="str">
        <f t="shared" si="1"/>
        <v> </v>
      </c>
      <c r="O4" s="71" t="str">
        <f t="shared" si="1"/>
        <v> </v>
      </c>
      <c r="P4" s="71">
        <f t="shared" si="1"/>
      </c>
      <c r="Q4" s="15">
        <f t="shared" si="1"/>
        <v>999</v>
      </c>
      <c r="R4" s="71" t="str">
        <f t="shared" si="1"/>
        <v>109, 110</v>
      </c>
      <c r="S4" s="71">
        <f t="shared" si="1"/>
      </c>
      <c r="T4" s="71" t="str">
        <f t="shared" si="1"/>
        <v> </v>
      </c>
      <c r="U4" s="71" t="str">
        <f t="shared" si="1"/>
        <v> </v>
      </c>
      <c r="V4" s="71" t="str">
        <f aca="true" t="shared" si="2" ref="V4:AD4">VLOOKUP($A4,Format_1_Table,V$3,FALSE)</f>
        <v> </v>
      </c>
      <c r="W4" s="71" t="str">
        <f t="shared" si="2"/>
        <v> </v>
      </c>
      <c r="X4" s="71" t="str">
        <f t="shared" si="2"/>
        <v> </v>
      </c>
      <c r="Y4" s="71" t="str">
        <f t="shared" si="2"/>
        <v> </v>
      </c>
      <c r="Z4" s="71" t="str">
        <f t="shared" si="2"/>
        <v> </v>
      </c>
      <c r="AA4" s="71" t="str">
        <f t="shared" si="2"/>
        <v> </v>
      </c>
      <c r="AB4" s="71" t="str">
        <f t="shared" si="2"/>
        <v> </v>
      </c>
      <c r="AC4" s="71" t="str">
        <f t="shared" si="2"/>
        <v> </v>
      </c>
      <c r="AD4" s="71" t="str">
        <f t="shared" si="2"/>
        <v> </v>
      </c>
    </row>
    <row r="5" spans="1:30" ht="11.25">
      <c r="A5" s="130" t="s">
        <v>681</v>
      </c>
      <c r="B5" s="71" t="str">
        <f aca="true" t="shared" si="3" ref="B5:K13">VLOOKUP($A5,Format_1_Table,B$3,FALSE)</f>
        <v>LDCDUNS##</v>
      </c>
      <c r="C5" s="71" t="str">
        <f t="shared" si="3"/>
        <v>SUPDUNS##</v>
      </c>
      <c r="D5" s="179">
        <f t="shared" si="3"/>
        <v>35982</v>
      </c>
      <c r="E5" s="71" t="str">
        <f t="shared" si="3"/>
        <v> </v>
      </c>
      <c r="F5" s="38" t="str">
        <f t="shared" si="3"/>
        <v>F</v>
      </c>
      <c r="G5" s="71" t="str">
        <f t="shared" si="3"/>
        <v>S0000000000001</v>
      </c>
      <c r="H5" s="71" t="str">
        <f t="shared" si="3"/>
        <v>D0000000000001</v>
      </c>
      <c r="I5" s="71" t="str">
        <f t="shared" si="3"/>
        <v>JOHN</v>
      </c>
      <c r="J5" s="179">
        <f t="shared" si="3"/>
        <v>36010</v>
      </c>
      <c r="K5" s="71" t="str">
        <f t="shared" si="3"/>
        <v> </v>
      </c>
      <c r="L5" s="71" t="str">
        <f aca="true" t="shared" si="4" ref="L5:U13">VLOOKUP($A5,Format_1_Table,L$3,FALSE)</f>
        <v> </v>
      </c>
      <c r="M5" s="71" t="str">
        <f t="shared" si="4"/>
        <v> </v>
      </c>
      <c r="N5" s="71" t="str">
        <f t="shared" si="4"/>
        <v> </v>
      </c>
      <c r="O5" s="71" t="str">
        <f t="shared" si="4"/>
        <v> </v>
      </c>
      <c r="P5" s="71">
        <f t="shared" si="4"/>
      </c>
      <c r="Q5" s="15">
        <f t="shared" si="4"/>
        <v>100</v>
      </c>
      <c r="R5" s="71">
        <f t="shared" si="4"/>
        <v>0</v>
      </c>
      <c r="S5" s="71">
        <f t="shared" si="4"/>
      </c>
      <c r="T5" s="71">
        <f t="shared" si="4"/>
      </c>
      <c r="U5" s="71" t="str">
        <f t="shared" si="4"/>
        <v> </v>
      </c>
      <c r="V5" s="71" t="str">
        <f aca="true" t="shared" si="5" ref="V5:AD13">VLOOKUP($A5,Format_1_Table,V$3,FALSE)</f>
        <v> </v>
      </c>
      <c r="W5" s="71" t="str">
        <f t="shared" si="5"/>
        <v> </v>
      </c>
      <c r="X5" s="71" t="str">
        <f t="shared" si="5"/>
        <v> </v>
      </c>
      <c r="Y5" s="71" t="str">
        <f t="shared" si="5"/>
        <v> </v>
      </c>
      <c r="Z5" s="71" t="str">
        <f t="shared" si="5"/>
        <v> </v>
      </c>
      <c r="AA5" s="71" t="str">
        <f t="shared" si="5"/>
        <v> </v>
      </c>
      <c r="AB5" s="71" t="str">
        <f t="shared" si="5"/>
        <v> </v>
      </c>
      <c r="AC5" s="71" t="str">
        <f t="shared" si="5"/>
        <v> </v>
      </c>
      <c r="AD5" s="71" t="str">
        <f t="shared" si="5"/>
        <v> </v>
      </c>
    </row>
    <row r="6" spans="1:30" ht="11.25">
      <c r="A6" s="130" t="s">
        <v>682</v>
      </c>
      <c r="B6" s="71" t="str">
        <f t="shared" si="3"/>
        <v>LDCDUNS##</v>
      </c>
      <c r="C6" s="71" t="str">
        <f t="shared" si="3"/>
        <v>SUPDUNS##</v>
      </c>
      <c r="D6" s="179">
        <f t="shared" si="3"/>
        <v>35982</v>
      </c>
      <c r="E6" s="71" t="str">
        <f t="shared" si="3"/>
        <v> </v>
      </c>
      <c r="F6" s="38" t="str">
        <f t="shared" si="3"/>
        <v>C</v>
      </c>
      <c r="G6" s="71" t="str">
        <f t="shared" si="3"/>
        <v>S0000000000002</v>
      </c>
      <c r="H6" s="71" t="str">
        <f t="shared" si="3"/>
        <v>D000000000002A</v>
      </c>
      <c r="I6" s="71" t="str">
        <f t="shared" si="3"/>
        <v>SMIT</v>
      </c>
      <c r="J6" s="179">
        <f t="shared" si="3"/>
      </c>
      <c r="K6" s="71" t="str">
        <f t="shared" si="3"/>
        <v> </v>
      </c>
      <c r="L6" s="71" t="str">
        <f t="shared" si="4"/>
        <v> </v>
      </c>
      <c r="M6" s="71" t="str">
        <f t="shared" si="4"/>
        <v> </v>
      </c>
      <c r="N6" s="71" t="str">
        <f t="shared" si="4"/>
        <v> </v>
      </c>
      <c r="O6" s="71" t="str">
        <f t="shared" si="4"/>
        <v> </v>
      </c>
      <c r="P6" s="71">
        <f t="shared" si="4"/>
      </c>
      <c r="Q6" s="15" t="str">
        <f t="shared" si="4"/>
        <v> </v>
      </c>
      <c r="R6" s="71" t="str">
        <f t="shared" si="4"/>
        <v> </v>
      </c>
      <c r="S6" s="71" t="str">
        <f t="shared" si="4"/>
        <v> </v>
      </c>
      <c r="T6" s="71">
        <f t="shared" si="4"/>
      </c>
      <c r="U6" s="71" t="str">
        <f t="shared" si="4"/>
        <v>D0000000000002</v>
      </c>
      <c r="V6" s="71" t="str">
        <f t="shared" si="5"/>
        <v> </v>
      </c>
      <c r="W6" s="71" t="str">
        <f t="shared" si="5"/>
        <v> </v>
      </c>
      <c r="X6" s="71" t="str">
        <f t="shared" si="5"/>
        <v> </v>
      </c>
      <c r="Y6" s="71" t="str">
        <f t="shared" si="5"/>
        <v> </v>
      </c>
      <c r="Z6" s="71" t="str">
        <f t="shared" si="5"/>
        <v> </v>
      </c>
      <c r="AA6" s="71" t="str">
        <f t="shared" si="5"/>
        <v> </v>
      </c>
      <c r="AB6" s="71" t="str">
        <f t="shared" si="5"/>
        <v> </v>
      </c>
      <c r="AC6" s="71" t="str">
        <f t="shared" si="5"/>
        <v> </v>
      </c>
      <c r="AD6" s="71" t="str">
        <f t="shared" si="5"/>
        <v> </v>
      </c>
    </row>
    <row r="7" spans="1:30" ht="11.25">
      <c r="A7" s="130" t="s">
        <v>683</v>
      </c>
      <c r="B7" s="71" t="str">
        <f t="shared" si="3"/>
        <v>LDCDUNS##</v>
      </c>
      <c r="C7" s="71" t="str">
        <f t="shared" si="3"/>
        <v>SUPDUNS##</v>
      </c>
      <c r="D7" s="179">
        <f t="shared" si="3"/>
        <v>35982</v>
      </c>
      <c r="E7" s="71" t="str">
        <f t="shared" si="3"/>
        <v> </v>
      </c>
      <c r="F7" s="38" t="str">
        <f t="shared" si="3"/>
        <v>C</v>
      </c>
      <c r="G7" s="71" t="str">
        <f t="shared" si="3"/>
        <v>S0000000000002</v>
      </c>
      <c r="H7" s="71" t="str">
        <f t="shared" si="3"/>
        <v>D000000000002A</v>
      </c>
      <c r="I7" s="71" t="str">
        <f t="shared" si="3"/>
        <v>SMIT</v>
      </c>
      <c r="J7" s="179">
        <f t="shared" si="3"/>
      </c>
      <c r="K7" s="71" t="str">
        <f t="shared" si="3"/>
        <v> </v>
      </c>
      <c r="L7" s="71" t="str">
        <f t="shared" si="4"/>
        <v> </v>
      </c>
      <c r="M7" s="71" t="str">
        <f t="shared" si="4"/>
        <v> </v>
      </c>
      <c r="N7" s="71" t="str">
        <f t="shared" si="4"/>
        <v> </v>
      </c>
      <c r="O7" s="71" t="str">
        <f t="shared" si="4"/>
        <v>E</v>
      </c>
      <c r="P7" s="71" t="str">
        <f t="shared" si="4"/>
        <v>M00000011A</v>
      </c>
      <c r="Q7" s="15" t="str">
        <f t="shared" si="4"/>
        <v> </v>
      </c>
      <c r="R7" s="71" t="str">
        <f t="shared" si="4"/>
        <v> </v>
      </c>
      <c r="S7" s="71">
        <f t="shared" si="4"/>
        <v>15</v>
      </c>
      <c r="T7" s="71">
        <f t="shared" si="4"/>
      </c>
      <c r="U7" s="71" t="str">
        <f t="shared" si="4"/>
        <v> </v>
      </c>
      <c r="V7" s="71" t="str">
        <f t="shared" si="5"/>
        <v> </v>
      </c>
      <c r="W7" s="71" t="str">
        <f t="shared" si="5"/>
        <v>M000000011</v>
      </c>
      <c r="X7" s="71" t="str">
        <f t="shared" si="5"/>
        <v> </v>
      </c>
      <c r="Y7" s="71" t="str">
        <f t="shared" si="5"/>
        <v> </v>
      </c>
      <c r="Z7" s="71" t="str">
        <f t="shared" si="5"/>
        <v> </v>
      </c>
      <c r="AA7" s="71" t="str">
        <f t="shared" si="5"/>
        <v> </v>
      </c>
      <c r="AB7" s="71" t="str">
        <f t="shared" si="5"/>
        <v> </v>
      </c>
      <c r="AC7" s="71" t="str">
        <f t="shared" si="5"/>
        <v> </v>
      </c>
      <c r="AD7" s="71" t="str">
        <f t="shared" si="5"/>
        <v> </v>
      </c>
    </row>
    <row r="8" spans="1:30" ht="11.25">
      <c r="A8" s="130" t="s">
        <v>684</v>
      </c>
      <c r="B8" s="71" t="str">
        <f t="shared" si="3"/>
        <v>LDCDUNS##</v>
      </c>
      <c r="C8" s="71" t="str">
        <f t="shared" si="3"/>
        <v>SUPDUNS##</v>
      </c>
      <c r="D8" s="179">
        <f t="shared" si="3"/>
        <v>35982</v>
      </c>
      <c r="E8" s="71" t="str">
        <f t="shared" si="3"/>
        <v> </v>
      </c>
      <c r="F8" s="38" t="str">
        <f t="shared" si="3"/>
        <v>M</v>
      </c>
      <c r="G8" s="71" t="str">
        <f t="shared" si="3"/>
        <v>S0000000000004</v>
      </c>
      <c r="H8" s="71" t="str">
        <f t="shared" si="3"/>
        <v>D000000000003A</v>
      </c>
      <c r="I8" s="71" t="str">
        <f t="shared" si="3"/>
        <v>ADAM</v>
      </c>
      <c r="J8" s="179">
        <f t="shared" si="3"/>
        <v>36027</v>
      </c>
      <c r="K8" s="71" t="str">
        <f t="shared" si="3"/>
        <v>C</v>
      </c>
      <c r="L8" s="71" t="str">
        <f t="shared" si="4"/>
        <v> </v>
      </c>
      <c r="M8" s="71" t="str">
        <f t="shared" si="4"/>
        <v>R01</v>
      </c>
      <c r="N8" s="71" t="str">
        <f t="shared" si="4"/>
        <v>R000002</v>
      </c>
      <c r="O8" s="71" t="str">
        <f t="shared" si="4"/>
        <v>E</v>
      </c>
      <c r="P8" s="71" t="str">
        <f t="shared" si="4"/>
        <v>M000000004</v>
      </c>
      <c r="Q8" s="15" t="str">
        <f t="shared" si="4"/>
        <v> </v>
      </c>
      <c r="R8" s="71" t="str">
        <f t="shared" si="4"/>
        <v> </v>
      </c>
      <c r="S8" s="71">
        <f t="shared" si="4"/>
        <v>8</v>
      </c>
      <c r="T8" s="71" t="str">
        <f t="shared" si="4"/>
        <v>N</v>
      </c>
      <c r="U8" s="71" t="str">
        <f t="shared" si="4"/>
        <v>D0000000000003</v>
      </c>
      <c r="V8" s="71" t="str">
        <f t="shared" si="5"/>
        <v> </v>
      </c>
      <c r="W8" s="71" t="str">
        <f t="shared" si="5"/>
        <v> </v>
      </c>
      <c r="X8" s="71" t="str">
        <f t="shared" si="5"/>
        <v>5 SOUTH STREET</v>
      </c>
      <c r="Y8" s="71" t="str">
        <f t="shared" si="5"/>
        <v> </v>
      </c>
      <c r="Z8" s="71" t="str">
        <f t="shared" si="5"/>
        <v>OLDTOWN </v>
      </c>
      <c r="AA8" s="71" t="str">
        <f t="shared" si="5"/>
        <v>MA</v>
      </c>
      <c r="AB8" s="71" t="str">
        <f t="shared" si="5"/>
        <v>99999</v>
      </c>
      <c r="AC8" s="71" t="str">
        <f t="shared" si="5"/>
        <v> </v>
      </c>
      <c r="AD8" s="71" t="str">
        <f t="shared" si="5"/>
        <v> </v>
      </c>
    </row>
    <row r="9" spans="1:30" ht="11.25">
      <c r="A9" s="130" t="s">
        <v>685</v>
      </c>
      <c r="B9" s="71" t="str">
        <f t="shared" si="3"/>
        <v>LDCDUNS##</v>
      </c>
      <c r="C9" s="71" t="str">
        <f t="shared" si="3"/>
        <v>SUPDUNS##</v>
      </c>
      <c r="D9" s="179">
        <f t="shared" si="3"/>
        <v>35982</v>
      </c>
      <c r="E9" s="71" t="str">
        <f t="shared" si="3"/>
        <v> </v>
      </c>
      <c r="F9" s="38" t="str">
        <f t="shared" si="3"/>
        <v>M</v>
      </c>
      <c r="G9" s="71" t="str">
        <f t="shared" si="3"/>
        <v>S0000000000004</v>
      </c>
      <c r="H9" s="71" t="str">
        <f t="shared" si="3"/>
        <v>D000000000003A</v>
      </c>
      <c r="I9" s="71" t="str">
        <f t="shared" si="3"/>
        <v>ADAM</v>
      </c>
      <c r="J9" s="179">
        <f t="shared" si="3"/>
        <v>36027</v>
      </c>
      <c r="K9" s="71" t="str">
        <f t="shared" si="3"/>
        <v>C</v>
      </c>
      <c r="L9" s="71" t="str">
        <f t="shared" si="4"/>
        <v> </v>
      </c>
      <c r="M9" s="71" t="str">
        <f t="shared" si="4"/>
        <v>R01</v>
      </c>
      <c r="N9" s="71" t="str">
        <f t="shared" si="4"/>
        <v>R000001</v>
      </c>
      <c r="O9" s="71" t="str">
        <f t="shared" si="4"/>
        <v>L</v>
      </c>
      <c r="P9" s="71" t="str">
        <f t="shared" si="4"/>
        <v>U000000002</v>
      </c>
      <c r="Q9" s="15" t="str">
        <f t="shared" si="4"/>
        <v> </v>
      </c>
      <c r="R9" s="71" t="str">
        <f t="shared" si="4"/>
        <v> </v>
      </c>
      <c r="S9" s="71">
        <f t="shared" si="4"/>
        <v>8</v>
      </c>
      <c r="T9" s="71" t="str">
        <f t="shared" si="4"/>
        <v>N</v>
      </c>
      <c r="U9" s="71" t="str">
        <f t="shared" si="4"/>
        <v>D0000000000003</v>
      </c>
      <c r="V9" s="71" t="str">
        <f t="shared" si="5"/>
        <v> </v>
      </c>
      <c r="W9" s="71" t="str">
        <f t="shared" si="5"/>
        <v> </v>
      </c>
      <c r="X9" s="71" t="str">
        <f t="shared" si="5"/>
        <v>5 SOUTH STREET</v>
      </c>
      <c r="Y9" s="71" t="str">
        <f t="shared" si="5"/>
        <v> </v>
      </c>
      <c r="Z9" s="71" t="str">
        <f t="shared" si="5"/>
        <v>OLDTOWN </v>
      </c>
      <c r="AA9" s="71" t="str">
        <f t="shared" si="5"/>
        <v>MA</v>
      </c>
      <c r="AB9" s="71" t="str">
        <f t="shared" si="5"/>
        <v>99999</v>
      </c>
      <c r="AC9" s="71" t="str">
        <f t="shared" si="5"/>
        <v> </v>
      </c>
      <c r="AD9" s="71" t="str">
        <f t="shared" si="5"/>
        <v> </v>
      </c>
    </row>
    <row r="10" spans="1:30" ht="11.25">
      <c r="A10" s="130" t="s">
        <v>686</v>
      </c>
      <c r="B10" s="71" t="str">
        <f t="shared" si="3"/>
        <v>LDCDUNS##</v>
      </c>
      <c r="C10" s="71" t="str">
        <f t="shared" si="3"/>
        <v>SUPDUNS##</v>
      </c>
      <c r="D10" s="179">
        <f t="shared" si="3"/>
        <v>35982</v>
      </c>
      <c r="E10" s="71" t="str">
        <f t="shared" si="3"/>
        <v> </v>
      </c>
      <c r="F10" s="38" t="str">
        <f t="shared" si="3"/>
        <v>D</v>
      </c>
      <c r="G10" s="71" t="str">
        <f t="shared" si="3"/>
        <v>S0000000000002</v>
      </c>
      <c r="H10" s="71" t="str">
        <f t="shared" si="3"/>
        <v>D000000000002A</v>
      </c>
      <c r="I10" s="71" t="str">
        <f t="shared" si="3"/>
        <v>SMIT</v>
      </c>
      <c r="J10" s="179">
        <f t="shared" si="3"/>
        <v>36026</v>
      </c>
      <c r="K10" s="71" t="str">
        <f t="shared" si="3"/>
        <v> </v>
      </c>
      <c r="L10" s="71" t="str">
        <f t="shared" si="4"/>
        <v> </v>
      </c>
      <c r="M10" s="71" t="str">
        <f t="shared" si="4"/>
        <v> </v>
      </c>
      <c r="N10" s="71" t="str">
        <f t="shared" si="4"/>
        <v> </v>
      </c>
      <c r="O10" s="71" t="str">
        <f t="shared" si="4"/>
        <v> </v>
      </c>
      <c r="P10" s="71">
        <f t="shared" si="4"/>
      </c>
      <c r="Q10" s="15" t="str">
        <f t="shared" si="4"/>
        <v> </v>
      </c>
      <c r="R10" s="71" t="str">
        <f t="shared" si="4"/>
        <v> </v>
      </c>
      <c r="S10" s="71">
        <f t="shared" si="4"/>
      </c>
      <c r="T10" s="71">
        <f t="shared" si="4"/>
      </c>
      <c r="U10" s="71" t="str">
        <f t="shared" si="4"/>
        <v> </v>
      </c>
      <c r="V10" s="71" t="str">
        <f t="shared" si="5"/>
        <v> </v>
      </c>
      <c r="W10" s="71" t="str">
        <f t="shared" si="5"/>
        <v> </v>
      </c>
      <c r="X10" s="71" t="str">
        <f t="shared" si="5"/>
        <v> </v>
      </c>
      <c r="Y10" s="71" t="str">
        <f t="shared" si="5"/>
        <v> </v>
      </c>
      <c r="Z10" s="71" t="str">
        <f t="shared" si="5"/>
        <v> </v>
      </c>
      <c r="AA10" s="71" t="str">
        <f t="shared" si="5"/>
        <v> </v>
      </c>
      <c r="AB10" s="71" t="str">
        <f t="shared" si="5"/>
        <v> </v>
      </c>
      <c r="AC10" s="71" t="str">
        <f t="shared" si="5"/>
        <v> </v>
      </c>
      <c r="AD10" s="71" t="str">
        <f t="shared" si="5"/>
        <v> </v>
      </c>
    </row>
    <row r="11" spans="1:30" ht="11.25">
      <c r="A11" s="130" t="s">
        <v>687</v>
      </c>
      <c r="B11" s="71" t="str">
        <f t="shared" si="3"/>
        <v>LDCDUNS##</v>
      </c>
      <c r="C11" s="71" t="str">
        <f t="shared" si="3"/>
        <v>SUPDUNS##</v>
      </c>
      <c r="D11" s="179">
        <f t="shared" si="3"/>
        <v>35982</v>
      </c>
      <c r="E11" s="71" t="str">
        <f t="shared" si="3"/>
        <v> </v>
      </c>
      <c r="F11" s="38" t="str">
        <f t="shared" si="3"/>
        <v>F</v>
      </c>
      <c r="G11" s="71" t="str">
        <f t="shared" si="3"/>
        <v>S0000000000008</v>
      </c>
      <c r="H11" s="71" t="str">
        <f t="shared" si="3"/>
        <v>D0000000000008</v>
      </c>
      <c r="I11" s="71" t="str">
        <f t="shared" si="3"/>
        <v>SAND</v>
      </c>
      <c r="J11" s="179">
        <f t="shared" si="3"/>
        <v>36010</v>
      </c>
      <c r="K11" s="71" t="str">
        <f t="shared" si="3"/>
        <v> </v>
      </c>
      <c r="L11" s="71" t="str">
        <f t="shared" si="4"/>
        <v> </v>
      </c>
      <c r="M11" s="71" t="str">
        <f t="shared" si="4"/>
        <v> </v>
      </c>
      <c r="N11" s="71" t="str">
        <f t="shared" si="4"/>
        <v> </v>
      </c>
      <c r="O11" s="71" t="str">
        <f t="shared" si="4"/>
        <v> </v>
      </c>
      <c r="P11" s="71">
        <f t="shared" si="4"/>
      </c>
      <c r="Q11" s="15">
        <f t="shared" si="4"/>
        <v>100</v>
      </c>
      <c r="R11" s="71">
        <f t="shared" si="4"/>
        <v>0</v>
      </c>
      <c r="S11" s="71">
        <f t="shared" si="4"/>
      </c>
      <c r="T11" s="71" t="str">
        <f t="shared" si="4"/>
        <v> </v>
      </c>
      <c r="U11" s="71" t="str">
        <f t="shared" si="4"/>
        <v> </v>
      </c>
      <c r="V11" s="71" t="str">
        <f t="shared" si="5"/>
        <v> </v>
      </c>
      <c r="W11" s="71" t="str">
        <f t="shared" si="5"/>
        <v> </v>
      </c>
      <c r="X11" s="71" t="str">
        <f t="shared" si="5"/>
        <v> </v>
      </c>
      <c r="Y11" s="71" t="str">
        <f t="shared" si="5"/>
        <v> </v>
      </c>
      <c r="Z11" s="71" t="str">
        <f t="shared" si="5"/>
        <v> </v>
      </c>
      <c r="AA11" s="71" t="str">
        <f t="shared" si="5"/>
        <v> </v>
      </c>
      <c r="AB11" s="71" t="str">
        <f t="shared" si="5"/>
        <v> </v>
      </c>
      <c r="AC11" s="71" t="str">
        <f t="shared" si="5"/>
        <v> </v>
      </c>
      <c r="AD11" s="71" t="str">
        <f t="shared" si="5"/>
        <v> </v>
      </c>
    </row>
    <row r="12" spans="1:30" ht="11.25">
      <c r="A12" s="130" t="s">
        <v>688</v>
      </c>
      <c r="B12" s="71" t="str">
        <f t="shared" si="3"/>
        <v>LDCDUNS##</v>
      </c>
      <c r="C12" s="71" t="str">
        <f t="shared" si="3"/>
        <v>SUPDUNS##</v>
      </c>
      <c r="D12" s="179">
        <f t="shared" si="3"/>
        <v>35982</v>
      </c>
      <c r="E12" s="71" t="str">
        <f t="shared" si="3"/>
        <v> </v>
      </c>
      <c r="F12" s="38" t="str">
        <f t="shared" si="3"/>
        <v>X</v>
      </c>
      <c r="G12" s="71" t="str">
        <f t="shared" si="3"/>
        <v>S0000000000002</v>
      </c>
      <c r="H12" s="71" t="str">
        <f t="shared" si="3"/>
        <v>D0000000000002</v>
      </c>
      <c r="I12" s="71" t="str">
        <f t="shared" si="3"/>
        <v>SMIT</v>
      </c>
      <c r="J12" s="179">
        <f t="shared" si="3"/>
      </c>
      <c r="K12" s="71" t="str">
        <f t="shared" si="3"/>
        <v> </v>
      </c>
      <c r="L12" s="71" t="str">
        <f t="shared" si="4"/>
        <v> </v>
      </c>
      <c r="M12" s="71" t="str">
        <f t="shared" si="4"/>
        <v> </v>
      </c>
      <c r="N12" s="71" t="str">
        <f t="shared" si="4"/>
        <v> </v>
      </c>
      <c r="O12" s="71" t="str">
        <f t="shared" si="4"/>
        <v> </v>
      </c>
      <c r="P12" s="71">
        <f t="shared" si="4"/>
      </c>
      <c r="Q12" s="15">
        <f t="shared" si="4"/>
        <v>167</v>
      </c>
      <c r="R12" s="71">
        <f t="shared" si="4"/>
        <v>0</v>
      </c>
      <c r="S12" s="71">
        <f t="shared" si="4"/>
      </c>
      <c r="T12" s="71">
        <f t="shared" si="4"/>
      </c>
      <c r="U12" s="71" t="str">
        <f t="shared" si="4"/>
        <v> </v>
      </c>
      <c r="V12" s="71" t="str">
        <f t="shared" si="5"/>
        <v> </v>
      </c>
      <c r="W12" s="71" t="str">
        <f t="shared" si="5"/>
        <v> </v>
      </c>
      <c r="X12" s="71" t="str">
        <f t="shared" si="5"/>
        <v> </v>
      </c>
      <c r="Y12" s="71" t="str">
        <f t="shared" si="5"/>
        <v> </v>
      </c>
      <c r="Z12" s="71" t="str">
        <f t="shared" si="5"/>
        <v> </v>
      </c>
      <c r="AA12" s="71" t="str">
        <f t="shared" si="5"/>
        <v> </v>
      </c>
      <c r="AB12" s="71" t="str">
        <f t="shared" si="5"/>
        <v> </v>
      </c>
      <c r="AC12" s="71" t="str">
        <f t="shared" si="5"/>
        <v> </v>
      </c>
      <c r="AD12" s="71" t="str">
        <f t="shared" si="5"/>
        <v> </v>
      </c>
    </row>
    <row r="13" spans="1:30" ht="11.25">
      <c r="A13" s="130" t="s">
        <v>689</v>
      </c>
      <c r="B13" s="71" t="str">
        <f t="shared" si="3"/>
        <v>LDCDUNS##</v>
      </c>
      <c r="C13" s="71" t="str">
        <f t="shared" si="3"/>
        <v>SUPDUNS##</v>
      </c>
      <c r="D13" s="179">
        <f t="shared" si="3"/>
        <v>35982</v>
      </c>
      <c r="E13" s="71" t="str">
        <f t="shared" si="3"/>
        <v> </v>
      </c>
      <c r="F13" s="38" t="str">
        <f t="shared" si="3"/>
        <v>F</v>
      </c>
      <c r="G13" s="71" t="str">
        <f t="shared" si="3"/>
        <v>S0000000000007</v>
      </c>
      <c r="H13" s="71" t="str">
        <f t="shared" si="3"/>
        <v>D0000000000006</v>
      </c>
      <c r="I13" s="71" t="str">
        <f t="shared" si="3"/>
        <v>ZURC</v>
      </c>
      <c r="J13" s="179">
        <f t="shared" si="3"/>
        <v>35982</v>
      </c>
      <c r="K13" s="71" t="str">
        <f t="shared" si="3"/>
        <v> </v>
      </c>
      <c r="L13" s="71" t="str">
        <f t="shared" si="4"/>
        <v> </v>
      </c>
      <c r="M13" s="71" t="str">
        <f t="shared" si="4"/>
        <v> </v>
      </c>
      <c r="N13" s="71" t="str">
        <f t="shared" si="4"/>
        <v> </v>
      </c>
      <c r="O13" s="71" t="str">
        <f t="shared" si="4"/>
        <v> </v>
      </c>
      <c r="P13" s="71">
        <f t="shared" si="4"/>
      </c>
      <c r="Q13" s="15">
        <f t="shared" si="4"/>
        <v>100</v>
      </c>
      <c r="R13" s="71">
        <f t="shared" si="4"/>
        <v>0</v>
      </c>
      <c r="S13" s="71" t="str">
        <f t="shared" si="4"/>
        <v> </v>
      </c>
      <c r="T13" s="71">
        <f t="shared" si="4"/>
      </c>
      <c r="U13" s="71" t="str">
        <f t="shared" si="4"/>
        <v> </v>
      </c>
      <c r="V13" s="71" t="str">
        <f t="shared" si="5"/>
        <v> </v>
      </c>
      <c r="W13" s="71" t="str">
        <f t="shared" si="5"/>
        <v> </v>
      </c>
      <c r="X13" s="71" t="str">
        <f t="shared" si="5"/>
        <v> </v>
      </c>
      <c r="Y13" s="71" t="str">
        <f t="shared" si="5"/>
        <v> </v>
      </c>
      <c r="Z13" s="71" t="str">
        <f t="shared" si="5"/>
        <v> </v>
      </c>
      <c r="AA13" s="71" t="str">
        <f t="shared" si="5"/>
        <v> </v>
      </c>
      <c r="AB13" s="71" t="str">
        <f t="shared" si="5"/>
        <v> </v>
      </c>
      <c r="AC13" s="71" t="str">
        <f t="shared" si="5"/>
        <v> </v>
      </c>
      <c r="AD13" s="71" t="str">
        <f t="shared" si="5"/>
        <v> </v>
      </c>
    </row>
    <row r="14" spans="2:3" ht="12.75">
      <c r="B14" s="121"/>
      <c r="C14" s="121"/>
    </row>
    <row r="15" spans="2:3" ht="12.75">
      <c r="B15" s="121"/>
      <c r="C15" s="121"/>
    </row>
    <row r="16" spans="2:3" ht="15.75">
      <c r="B16" s="219" t="s">
        <v>690</v>
      </c>
      <c r="C16" s="121"/>
    </row>
    <row r="17" spans="1:40" s="213" customFormat="1" ht="11.25" hidden="1">
      <c r="A17" s="213" t="s">
        <v>618</v>
      </c>
      <c r="B17" s="213">
        <v>1</v>
      </c>
      <c r="C17" s="213">
        <v>2</v>
      </c>
      <c r="D17" s="213">
        <v>3</v>
      </c>
      <c r="E17" s="213">
        <v>4</v>
      </c>
      <c r="F17" s="213">
        <v>5</v>
      </c>
      <c r="G17" s="213">
        <v>6</v>
      </c>
      <c r="H17" s="213">
        <v>7</v>
      </c>
      <c r="I17" s="213">
        <v>8</v>
      </c>
      <c r="J17" s="213">
        <v>9</v>
      </c>
      <c r="K17" s="213">
        <v>10</v>
      </c>
      <c r="L17" s="213">
        <v>11</v>
      </c>
      <c r="M17" s="213">
        <v>12</v>
      </c>
      <c r="N17" s="213">
        <v>13</v>
      </c>
      <c r="O17" s="213">
        <v>14</v>
      </c>
      <c r="P17" s="213">
        <v>15</v>
      </c>
      <c r="Q17" s="213">
        <v>16</v>
      </c>
      <c r="R17" s="213">
        <v>17</v>
      </c>
      <c r="S17" s="213">
        <v>18</v>
      </c>
      <c r="T17" s="213">
        <v>19</v>
      </c>
      <c r="U17" s="213">
        <v>20</v>
      </c>
      <c r="V17" s="213">
        <v>21</v>
      </c>
      <c r="W17" s="213">
        <v>22</v>
      </c>
      <c r="X17" s="213">
        <v>23</v>
      </c>
      <c r="Y17" s="213">
        <v>24</v>
      </c>
      <c r="Z17" s="213">
        <v>25</v>
      </c>
      <c r="AA17" s="213">
        <v>26</v>
      </c>
      <c r="AB17" s="213">
        <v>27</v>
      </c>
      <c r="AC17" s="213">
        <v>28</v>
      </c>
      <c r="AD17" s="213">
        <v>29</v>
      </c>
      <c r="AE17" s="213">
        <v>30</v>
      </c>
      <c r="AF17" s="213">
        <v>31</v>
      </c>
      <c r="AG17" s="213">
        <v>32</v>
      </c>
      <c r="AH17" s="213">
        <v>33</v>
      </c>
      <c r="AI17" s="213">
        <v>34</v>
      </c>
      <c r="AJ17" s="213">
        <v>35</v>
      </c>
      <c r="AK17" s="213">
        <v>36</v>
      </c>
      <c r="AL17" s="213">
        <v>37</v>
      </c>
      <c r="AM17" s="213">
        <v>38</v>
      </c>
      <c r="AN17" s="213">
        <v>39</v>
      </c>
    </row>
    <row r="18" spans="1:40" s="211" customFormat="1" ht="10.5" hidden="1">
      <c r="A18" s="211" t="s">
        <v>619</v>
      </c>
      <c r="B18" s="211">
        <v>7</v>
      </c>
      <c r="C18" s="211">
        <v>8</v>
      </c>
      <c r="D18" s="211">
        <v>9</v>
      </c>
      <c r="E18" s="211">
        <v>10</v>
      </c>
      <c r="F18" s="211">
        <v>11</v>
      </c>
      <c r="G18" s="211">
        <v>12</v>
      </c>
      <c r="H18" s="211">
        <v>13</v>
      </c>
      <c r="I18" s="211">
        <v>17</v>
      </c>
      <c r="J18" s="211">
        <v>15</v>
      </c>
      <c r="K18" s="211">
        <v>16</v>
      </c>
      <c r="L18" s="211">
        <v>21</v>
      </c>
      <c r="M18" s="211">
        <v>19</v>
      </c>
      <c r="N18" s="211">
        <v>20</v>
      </c>
      <c r="O18" s="211">
        <v>22</v>
      </c>
      <c r="P18" s="211">
        <v>23</v>
      </c>
      <c r="Q18" s="211">
        <v>24</v>
      </c>
      <c r="R18" s="211">
        <v>25</v>
      </c>
      <c r="S18" s="211">
        <v>26</v>
      </c>
      <c r="T18" s="211">
        <v>27</v>
      </c>
      <c r="U18" s="211">
        <v>28</v>
      </c>
      <c r="V18" s="211">
        <v>29</v>
      </c>
      <c r="W18" s="211">
        <v>30</v>
      </c>
      <c r="X18" s="211">
        <v>31</v>
      </c>
      <c r="Y18" s="211">
        <v>32</v>
      </c>
      <c r="Z18" s="211">
        <v>33</v>
      </c>
      <c r="AA18" s="211">
        <v>34</v>
      </c>
      <c r="AB18" s="211">
        <v>35</v>
      </c>
      <c r="AC18" s="211">
        <v>14</v>
      </c>
      <c r="AD18" s="211">
        <v>18</v>
      </c>
      <c r="AE18" s="211">
        <v>42</v>
      </c>
      <c r="AF18" s="211">
        <v>36</v>
      </c>
      <c r="AG18" s="211">
        <v>37</v>
      </c>
      <c r="AH18" s="211">
        <v>38</v>
      </c>
      <c r="AI18" s="211">
        <v>39</v>
      </c>
      <c r="AJ18" s="211">
        <v>40</v>
      </c>
      <c r="AK18" s="211">
        <v>41</v>
      </c>
      <c r="AL18" s="211">
        <v>44</v>
      </c>
      <c r="AM18" s="211">
        <v>43</v>
      </c>
      <c r="AN18" s="211">
        <v>45</v>
      </c>
    </row>
    <row r="19" spans="1:40" ht="11.25">
      <c r="A19" s="130" t="s">
        <v>689</v>
      </c>
      <c r="B19" s="71" t="str">
        <f aca="true" t="shared" si="6" ref="B19:K21">VLOOKUP($A19,Format_2_Table,B$18,FALSE)</f>
        <v>LDCDUNS##</v>
      </c>
      <c r="C19" s="71" t="str">
        <f t="shared" si="6"/>
        <v>SUPDUNS##</v>
      </c>
      <c r="D19" s="179">
        <f t="shared" si="6"/>
        <v>35982</v>
      </c>
      <c r="E19" s="71" t="str">
        <f t="shared" si="6"/>
        <v>Invoice No</v>
      </c>
      <c r="F19" s="71" t="str">
        <f t="shared" si="6"/>
        <v>S0000000000004</v>
      </c>
      <c r="G19" s="71" t="str">
        <f t="shared" si="6"/>
        <v>D000000000003A</v>
      </c>
      <c r="H19" s="71">
        <f t="shared" si="6"/>
        <v>3</v>
      </c>
      <c r="I19" s="71" t="str">
        <f t="shared" si="6"/>
        <v>C</v>
      </c>
      <c r="J19" s="71" t="str">
        <f t="shared" si="6"/>
        <v>E</v>
      </c>
      <c r="K19" s="38" t="str">
        <f t="shared" si="6"/>
        <v>M000000004</v>
      </c>
      <c r="L19" s="38" t="str">
        <f aca="true" t="shared" si="7" ref="L19:U21">VLOOKUP($A19,Format_2_Table,L$18,FALSE)</f>
        <v>N</v>
      </c>
      <c r="M19" s="179">
        <f t="shared" si="7"/>
        <v>35982</v>
      </c>
      <c r="N19" s="179">
        <f t="shared" si="7"/>
        <v>35959</v>
      </c>
      <c r="O19" s="71">
        <f t="shared" si="7"/>
        <v>999</v>
      </c>
      <c r="P19" s="71">
        <f t="shared" si="7"/>
        <v>0</v>
      </c>
      <c r="Q19" s="71" t="str">
        <f t="shared" si="7"/>
        <v> </v>
      </c>
      <c r="R19" s="71" t="str">
        <f t="shared" si="7"/>
        <v> </v>
      </c>
      <c r="S19" s="71" t="str">
        <f t="shared" si="7"/>
        <v> </v>
      </c>
      <c r="T19" s="71" t="str">
        <f t="shared" si="7"/>
        <v> </v>
      </c>
      <c r="U19" s="71" t="str">
        <f t="shared" si="7"/>
        <v> </v>
      </c>
      <c r="V19" s="71" t="str">
        <f aca="true" t="shared" si="8" ref="V19:AK21">VLOOKUP($A19,Format_2_Table,V$18,FALSE)</f>
        <v> </v>
      </c>
      <c r="W19" s="71" t="str">
        <f t="shared" si="8"/>
        <v> </v>
      </c>
      <c r="X19" s="71" t="str">
        <f t="shared" si="8"/>
        <v> </v>
      </c>
      <c r="Y19" s="71" t="str">
        <f t="shared" si="8"/>
        <v> </v>
      </c>
      <c r="Z19" s="15" t="str">
        <f t="shared" si="8"/>
        <v> </v>
      </c>
      <c r="AA19" s="43">
        <f t="shared" si="8"/>
        <v>16</v>
      </c>
      <c r="AB19" s="179">
        <f t="shared" si="8"/>
        <v>35982</v>
      </c>
      <c r="AC19" s="43" t="str">
        <f t="shared" si="8"/>
        <v>R01</v>
      </c>
      <c r="AD19" s="43" t="str">
        <f t="shared" si="8"/>
        <v>R000002</v>
      </c>
      <c r="AE19" s="43" t="str">
        <f t="shared" si="8"/>
        <v> </v>
      </c>
      <c r="AF19" s="43">
        <f t="shared" si="8"/>
        <v>29.97</v>
      </c>
      <c r="AG19" s="43">
        <f t="shared" si="8"/>
        <v>0</v>
      </c>
      <c r="AH19" s="43">
        <f t="shared" si="8"/>
        <v>0</v>
      </c>
      <c r="AI19" s="43">
        <f t="shared" si="8"/>
        <v>0</v>
      </c>
      <c r="AJ19" s="43">
        <f t="shared" si="8"/>
        <v>0</v>
      </c>
      <c r="AK19" s="43">
        <f t="shared" si="8"/>
        <v>0</v>
      </c>
      <c r="AL19" s="43" t="str">
        <f aca="true" t="shared" si="9" ref="AK19:AN21">VLOOKUP($A19,Format_2_Table,AL$18,FALSE)</f>
        <v> </v>
      </c>
      <c r="AM19" s="43" t="str">
        <f t="shared" si="9"/>
        <v> </v>
      </c>
      <c r="AN19" s="43" t="str">
        <f t="shared" si="9"/>
        <v> </v>
      </c>
    </row>
    <row r="20" spans="1:40" ht="11.25">
      <c r="A20" s="130" t="s">
        <v>691</v>
      </c>
      <c r="B20" s="108" t="str">
        <f t="shared" si="6"/>
        <v>LDCDUNS##</v>
      </c>
      <c r="C20" s="108" t="str">
        <f t="shared" si="6"/>
        <v>SUPDUNS##</v>
      </c>
      <c r="D20" s="212">
        <f t="shared" si="6"/>
        <v>35982</v>
      </c>
      <c r="E20" s="108" t="str">
        <f t="shared" si="6"/>
        <v>Invoice No</v>
      </c>
      <c r="F20" s="108" t="str">
        <f t="shared" si="6"/>
        <v>S0000000000004</v>
      </c>
      <c r="G20" s="108" t="str">
        <f t="shared" si="6"/>
        <v>D000000000003A</v>
      </c>
      <c r="H20" s="108">
        <f t="shared" si="6"/>
        <v>3</v>
      </c>
      <c r="I20" s="108" t="str">
        <f t="shared" si="6"/>
        <v>C</v>
      </c>
      <c r="J20" s="108" t="str">
        <f t="shared" si="6"/>
        <v>L</v>
      </c>
      <c r="K20" s="156" t="str">
        <f t="shared" si="6"/>
        <v>U000000002</v>
      </c>
      <c r="L20" s="156" t="str">
        <f t="shared" si="7"/>
        <v>N</v>
      </c>
      <c r="M20" s="212">
        <f t="shared" si="7"/>
        <v>35982</v>
      </c>
      <c r="N20" s="212">
        <f t="shared" si="7"/>
        <v>35959</v>
      </c>
      <c r="O20" s="108">
        <f t="shared" si="7"/>
        <v>500</v>
      </c>
      <c r="P20" s="108">
        <f t="shared" si="7"/>
        <v>0</v>
      </c>
      <c r="Q20" s="108" t="str">
        <f t="shared" si="7"/>
        <v> </v>
      </c>
      <c r="R20" s="108" t="str">
        <f t="shared" si="7"/>
        <v> </v>
      </c>
      <c r="S20" s="108" t="str">
        <f t="shared" si="7"/>
        <v> </v>
      </c>
      <c r="T20" s="108" t="str">
        <f t="shared" si="7"/>
        <v> </v>
      </c>
      <c r="U20" s="108" t="str">
        <f t="shared" si="7"/>
        <v> </v>
      </c>
      <c r="V20" s="108" t="str">
        <f t="shared" si="8"/>
        <v> </v>
      </c>
      <c r="W20" s="108" t="str">
        <f t="shared" si="8"/>
        <v> </v>
      </c>
      <c r="X20" s="108" t="str">
        <f t="shared" si="8"/>
        <v> </v>
      </c>
      <c r="Y20" s="108" t="str">
        <f t="shared" si="8"/>
        <v> </v>
      </c>
      <c r="Z20" s="214">
        <f t="shared" si="8"/>
        <v>99</v>
      </c>
      <c r="AA20" s="157">
        <f t="shared" si="8"/>
        <v>16</v>
      </c>
      <c r="AB20" s="212">
        <f t="shared" si="8"/>
        <v>35982</v>
      </c>
      <c r="AC20" s="157" t="str">
        <f t="shared" si="8"/>
        <v>R01</v>
      </c>
      <c r="AD20" s="157" t="str">
        <f t="shared" si="8"/>
        <v>R000001</v>
      </c>
      <c r="AE20" s="157">
        <f t="shared" si="8"/>
        <v>0</v>
      </c>
      <c r="AF20" s="157">
        <f t="shared" si="8"/>
        <v>14</v>
      </c>
      <c r="AG20" s="157">
        <f t="shared" si="8"/>
        <v>0</v>
      </c>
      <c r="AH20" s="157">
        <f t="shared" si="8"/>
        <v>0</v>
      </c>
      <c r="AI20" s="157">
        <f t="shared" si="8"/>
        <v>0</v>
      </c>
      <c r="AJ20" s="157">
        <f t="shared" si="8"/>
        <v>0</v>
      </c>
      <c r="AK20" s="157">
        <f t="shared" si="9"/>
        <v>0</v>
      </c>
      <c r="AL20" s="157">
        <f t="shared" si="9"/>
        <v>0</v>
      </c>
      <c r="AM20" s="157">
        <f t="shared" si="9"/>
        <v>0</v>
      </c>
      <c r="AN20" s="157">
        <f t="shared" si="9"/>
        <v>43.97</v>
      </c>
    </row>
    <row r="21" spans="1:40" ht="11.25">
      <c r="A21" s="130" t="s">
        <v>692</v>
      </c>
      <c r="B21" s="108" t="str">
        <f t="shared" si="6"/>
        <v>LDCDUNS##</v>
      </c>
      <c r="C21" s="108" t="str">
        <f t="shared" si="6"/>
        <v>SUPDUNS##</v>
      </c>
      <c r="D21" s="212">
        <f t="shared" si="6"/>
        <v>35982</v>
      </c>
      <c r="E21" s="108" t="str">
        <f t="shared" si="6"/>
        <v>Invoice No</v>
      </c>
      <c r="F21" s="108" t="str">
        <f t="shared" si="6"/>
        <v>S0000000000002</v>
      </c>
      <c r="G21" s="108" t="str">
        <f t="shared" si="6"/>
        <v>D000000000002A</v>
      </c>
      <c r="H21" s="108">
        <f t="shared" si="6"/>
        <v>3</v>
      </c>
      <c r="I21" s="108" t="str">
        <f t="shared" si="6"/>
        <v>P</v>
      </c>
      <c r="J21" s="108" t="str">
        <f t="shared" si="6"/>
        <v>E</v>
      </c>
      <c r="K21" s="156" t="str">
        <f t="shared" si="6"/>
        <v>M00000011A</v>
      </c>
      <c r="L21" s="156" t="str">
        <f t="shared" si="7"/>
        <v>N</v>
      </c>
      <c r="M21" s="212">
        <f t="shared" si="7"/>
        <v>35982</v>
      </c>
      <c r="N21" s="212">
        <f t="shared" si="7"/>
        <v>35969</v>
      </c>
      <c r="O21" s="108">
        <f t="shared" si="7"/>
        <v>999</v>
      </c>
      <c r="P21" s="108">
        <f t="shared" si="7"/>
        <v>0</v>
      </c>
      <c r="Q21" s="108" t="str">
        <f t="shared" si="7"/>
        <v> </v>
      </c>
      <c r="R21" s="108" t="str">
        <f t="shared" si="7"/>
        <v> </v>
      </c>
      <c r="S21" s="108" t="str">
        <f t="shared" si="7"/>
        <v> </v>
      </c>
      <c r="T21" s="108" t="str">
        <f t="shared" si="7"/>
        <v> </v>
      </c>
      <c r="U21" s="108" t="str">
        <f t="shared" si="7"/>
        <v> </v>
      </c>
      <c r="V21" s="108" t="str">
        <f t="shared" si="8"/>
        <v> </v>
      </c>
      <c r="W21" s="108" t="str">
        <f t="shared" si="8"/>
        <v> </v>
      </c>
      <c r="X21" s="108" t="str">
        <f t="shared" si="8"/>
        <v> </v>
      </c>
      <c r="Y21" s="108" t="str">
        <f t="shared" si="8"/>
        <v> </v>
      </c>
      <c r="Z21" s="214" t="str">
        <f t="shared" si="8"/>
        <v> </v>
      </c>
      <c r="AA21" s="157" t="str">
        <f t="shared" si="8"/>
        <v> </v>
      </c>
      <c r="AB21" s="157" t="str">
        <f t="shared" si="8"/>
        <v> </v>
      </c>
      <c r="AC21" s="157" t="str">
        <f t="shared" si="8"/>
        <v> </v>
      </c>
      <c r="AD21" s="157" t="str">
        <f t="shared" si="8"/>
        <v> </v>
      </c>
      <c r="AE21" s="157" t="str">
        <f t="shared" si="8"/>
        <v> </v>
      </c>
      <c r="AF21" s="157" t="str">
        <f t="shared" si="8"/>
        <v> </v>
      </c>
      <c r="AG21" s="157" t="str">
        <f t="shared" si="8"/>
        <v> </v>
      </c>
      <c r="AH21" s="157" t="str">
        <f t="shared" si="8"/>
        <v> </v>
      </c>
      <c r="AI21" s="157" t="str">
        <f t="shared" si="8"/>
        <v> </v>
      </c>
      <c r="AJ21" s="157" t="str">
        <f t="shared" si="8"/>
        <v> </v>
      </c>
      <c r="AK21" s="157" t="str">
        <f t="shared" si="9"/>
        <v> </v>
      </c>
      <c r="AL21" s="157" t="str">
        <f t="shared" si="9"/>
        <v> </v>
      </c>
      <c r="AM21" s="157" t="str">
        <f t="shared" si="9"/>
        <v> </v>
      </c>
      <c r="AN21" s="157" t="str">
        <f t="shared" si="9"/>
        <v> </v>
      </c>
    </row>
    <row r="22" spans="3:41" s="121" customFormat="1" ht="12.75">
      <c r="C22" s="131"/>
      <c r="D22" s="131"/>
      <c r="E22" s="131"/>
      <c r="F22" s="131"/>
      <c r="G22" s="131"/>
      <c r="H22" s="131"/>
      <c r="I22" s="131"/>
      <c r="M22" s="137"/>
      <c r="AK22" s="130"/>
      <c r="AL22" s="130"/>
      <c r="AM22" s="130"/>
      <c r="AN22" s="130"/>
      <c r="AO22" s="130"/>
    </row>
    <row r="23" spans="13:41" s="132" customFormat="1" ht="12.75">
      <c r="M23" s="138"/>
      <c r="AK23" s="130"/>
      <c r="AL23" s="130"/>
      <c r="AM23" s="130"/>
      <c r="AN23" s="130"/>
      <c r="AO23" s="130"/>
    </row>
    <row r="24" spans="2:41" s="132" customFormat="1" ht="15.75">
      <c r="B24" s="219" t="s">
        <v>693</v>
      </c>
      <c r="M24" s="138"/>
      <c r="AK24" s="130"/>
      <c r="AL24" s="130"/>
      <c r="AM24" s="130"/>
      <c r="AN24" s="130"/>
      <c r="AO24" s="130"/>
    </row>
    <row r="25" spans="1:11" ht="11.25" hidden="1">
      <c r="A25" s="130" t="s">
        <v>618</v>
      </c>
      <c r="B25" s="210">
        <v>1</v>
      </c>
      <c r="C25" s="210">
        <v>2</v>
      </c>
      <c r="D25" s="210">
        <v>3</v>
      </c>
      <c r="E25" s="210">
        <v>4</v>
      </c>
      <c r="F25" s="210">
        <v>5</v>
      </c>
      <c r="G25" s="210">
        <v>6</v>
      </c>
      <c r="H25" s="210">
        <v>7</v>
      </c>
      <c r="I25" s="210">
        <v>8</v>
      </c>
      <c r="J25" s="210">
        <v>9</v>
      </c>
      <c r="K25" s="210">
        <v>10</v>
      </c>
    </row>
    <row r="26" spans="1:11" s="205" customFormat="1" ht="10.5" hidden="1">
      <c r="A26" s="209" t="s">
        <v>619</v>
      </c>
      <c r="B26" s="205">
        <v>7</v>
      </c>
      <c r="C26" s="205">
        <v>8</v>
      </c>
      <c r="D26" s="205">
        <v>9</v>
      </c>
      <c r="E26" s="205">
        <v>10</v>
      </c>
      <c r="F26" s="205">
        <v>11</v>
      </c>
      <c r="G26" s="205">
        <v>12</v>
      </c>
      <c r="H26" s="205">
        <v>13</v>
      </c>
      <c r="I26" s="205">
        <v>14</v>
      </c>
      <c r="J26" s="205">
        <v>16</v>
      </c>
      <c r="K26" s="205">
        <v>15</v>
      </c>
    </row>
    <row r="27" spans="1:11" ht="11.25">
      <c r="A27" s="130" t="s">
        <v>694</v>
      </c>
      <c r="B27" s="179" t="str">
        <f>VLOOKUP($A27,format_3_table,B26,FALSE)</f>
        <v>LDCDUNS##</v>
      </c>
      <c r="C27" s="179" t="str">
        <f aca="true" t="shared" si="10" ref="C27:K27">VLOOKUP($A27,format_3_table,C26,FALSE)</f>
        <v>SUPDUNS##</v>
      </c>
      <c r="D27" s="179">
        <f t="shared" si="10"/>
        <v>35982</v>
      </c>
      <c r="E27" s="179" t="str">
        <f t="shared" si="10"/>
        <v>Tracking Number</v>
      </c>
      <c r="F27" s="179">
        <f t="shared" si="10"/>
        <v>35985</v>
      </c>
      <c r="G27" s="179" t="str">
        <f t="shared" si="10"/>
        <v>S0000000000022</v>
      </c>
      <c r="H27" s="179" t="str">
        <f t="shared" si="10"/>
        <v>D0000000000022</v>
      </c>
      <c r="I27" s="179" t="str">
        <f t="shared" si="10"/>
        <v>008</v>
      </c>
      <c r="J27" s="43">
        <f t="shared" si="10"/>
        <v>-116</v>
      </c>
      <c r="K27" s="179">
        <f t="shared" si="10"/>
        <v>35982</v>
      </c>
    </row>
    <row r="28" spans="13:41" s="132" customFormat="1" ht="12.75">
      <c r="M28" s="138"/>
      <c r="AK28" s="130"/>
      <c r="AL28" s="130"/>
      <c r="AM28" s="130"/>
      <c r="AN28" s="130"/>
      <c r="AO28" s="130"/>
    </row>
    <row r="29" spans="13:41" s="132" customFormat="1" ht="12.75">
      <c r="M29" s="138"/>
      <c r="AK29" s="130"/>
      <c r="AL29" s="130"/>
      <c r="AM29" s="130"/>
      <c r="AN29" s="130"/>
      <c r="AO29" s="130"/>
    </row>
    <row r="30" spans="13:41" s="132" customFormat="1" ht="12.75">
      <c r="M30" s="138"/>
      <c r="AK30" s="130"/>
      <c r="AL30" s="130"/>
      <c r="AM30" s="130"/>
      <c r="AN30" s="130"/>
      <c r="AO30" s="130"/>
    </row>
    <row r="31" spans="13:41" s="132" customFormat="1" ht="12.75">
      <c r="M31" s="138"/>
      <c r="AK31" s="130"/>
      <c r="AL31" s="130"/>
      <c r="AM31" s="130"/>
      <c r="AN31" s="130"/>
      <c r="AO31" s="130"/>
    </row>
    <row r="32" spans="13:41" s="132" customFormat="1" ht="12.75">
      <c r="M32" s="138"/>
      <c r="AK32" s="130"/>
      <c r="AL32" s="130"/>
      <c r="AM32" s="130"/>
      <c r="AN32" s="130"/>
      <c r="AO32" s="130"/>
    </row>
    <row r="33" spans="13:41" s="132" customFormat="1" ht="12.75">
      <c r="M33" s="138"/>
      <c r="AK33" s="130"/>
      <c r="AL33" s="130"/>
      <c r="AM33" s="130"/>
      <c r="AN33" s="130"/>
      <c r="AO33" s="130"/>
    </row>
    <row r="34" spans="13:41" s="132" customFormat="1" ht="12.75">
      <c r="M34" s="138"/>
      <c r="AK34" s="130"/>
      <c r="AL34" s="130"/>
      <c r="AM34" s="130"/>
      <c r="AN34" s="130"/>
      <c r="AO34" s="130"/>
    </row>
    <row r="35" spans="13:41" s="132" customFormat="1" ht="12.75">
      <c r="M35" s="138"/>
      <c r="AK35" s="130"/>
      <c r="AL35" s="130"/>
      <c r="AM35" s="130"/>
      <c r="AN35" s="130"/>
      <c r="AO35" s="130"/>
    </row>
    <row r="36" s="132" customFormat="1" ht="12.75">
      <c r="M36" s="138"/>
    </row>
    <row r="37" s="132" customFormat="1" ht="12.75">
      <c r="M37" s="138"/>
    </row>
    <row r="38" s="132" customFormat="1" ht="12.75">
      <c r="M38" s="138"/>
    </row>
    <row r="39" s="132" customFormat="1" ht="12.75">
      <c r="M39" s="138"/>
    </row>
    <row r="40" s="132" customFormat="1" ht="12.75">
      <c r="M40" s="138"/>
    </row>
    <row r="41" s="132" customFormat="1" ht="12.75">
      <c r="M41" s="138"/>
    </row>
    <row r="42" s="132" customFormat="1" ht="12.75">
      <c r="M42" s="138"/>
    </row>
    <row r="43" s="132" customFormat="1" ht="12.75">
      <c r="M43" s="138"/>
    </row>
    <row r="44" s="132" customFormat="1" ht="12.75">
      <c r="M44" s="138"/>
    </row>
    <row r="45" spans="6:14" ht="11.25">
      <c r="F45" s="130" t="s">
        <v>695</v>
      </c>
      <c r="L45" s="130" t="s">
        <v>695</v>
      </c>
      <c r="N45" s="130" t="s">
        <v>695</v>
      </c>
    </row>
    <row r="46" spans="6:15" ht="11.25">
      <c r="F46" s="130" t="s">
        <v>695</v>
      </c>
      <c r="L46" s="130" t="s">
        <v>695</v>
      </c>
      <c r="N46" s="130" t="s">
        <v>695</v>
      </c>
      <c r="O46" s="130" t="s">
        <v>695</v>
      </c>
    </row>
    <row r="47" spans="6:15" ht="11.25">
      <c r="F47" s="130" t="s">
        <v>695</v>
      </c>
      <c r="L47" s="130" t="s">
        <v>695</v>
      </c>
      <c r="N47" s="130" t="s">
        <v>695</v>
      </c>
      <c r="O47" s="130" t="s">
        <v>695</v>
      </c>
    </row>
    <row r="48" spans="6:15" ht="11.25">
      <c r="F48" s="130" t="s">
        <v>695</v>
      </c>
      <c r="L48" s="130" t="s">
        <v>695</v>
      </c>
      <c r="N48" s="130" t="s">
        <v>695</v>
      </c>
      <c r="O48" s="130" t="s">
        <v>695</v>
      </c>
    </row>
    <row r="49" spans="6:15" ht="11.25">
      <c r="F49" s="130" t="s">
        <v>695</v>
      </c>
      <c r="L49" s="130" t="s">
        <v>695</v>
      </c>
      <c r="N49" s="130" t="s">
        <v>695</v>
      </c>
      <c r="O49" s="130" t="s">
        <v>695</v>
      </c>
    </row>
    <row r="50" spans="6:15" ht="11.25">
      <c r="F50" s="130" t="s">
        <v>695</v>
      </c>
      <c r="L50" s="130" t="s">
        <v>695</v>
      </c>
      <c r="N50" s="130" t="s">
        <v>695</v>
      </c>
      <c r="O50" s="130" t="s">
        <v>695</v>
      </c>
    </row>
    <row r="58" spans="6:15" ht="11.25">
      <c r="F58" s="130" t="s">
        <v>695</v>
      </c>
      <c r="L58" s="130" t="s">
        <v>695</v>
      </c>
      <c r="N58" s="130" t="s">
        <v>695</v>
      </c>
      <c r="O58" s="130" t="s">
        <v>695</v>
      </c>
    </row>
    <row r="62" spans="6:14" ht="11.25">
      <c r="F62" s="130" t="s">
        <v>695</v>
      </c>
      <c r="L62" s="130" t="s">
        <v>695</v>
      </c>
      <c r="N62" s="130" t="s">
        <v>695</v>
      </c>
    </row>
  </sheetData>
  <printOptions/>
  <pageMargins left="0.75" right="0.75" top="1" bottom="1" header="0.5" footer="0.5"/>
  <pageSetup fitToHeight="3" horizontalDpi="600" verticalDpi="600" orientation="landscape" scale="85" r:id="rId2"/>
  <headerFooter alignWithMargins="0">
    <oddHeader>&amp;CEBT Test Conditions
&amp;A</oddHeader>
    <oddFooter>&amp;LVersion 5.0&amp;CPage &amp;P&amp;RIssued:  June 25, 1999
</oddFooter>
  </headerFooter>
  <drawing r:id="rId1"/>
</worksheet>
</file>

<file path=xl/worksheets/sheet16.xml><?xml version="1.0" encoding="utf-8"?>
<worksheet xmlns="http://schemas.openxmlformats.org/spreadsheetml/2006/main" xmlns:r="http://schemas.openxmlformats.org/officeDocument/2006/relationships">
  <dimension ref="A1:AN26"/>
  <sheetViews>
    <sheetView workbookViewId="0" topLeftCell="B1">
      <selection activeCell="D7" sqref="D7"/>
      <selection activeCell="B23" sqref="B23"/>
    </sheetView>
  </sheetViews>
  <sheetFormatPr defaultColWidth="9.140625" defaultRowHeight="12.75"/>
  <cols>
    <col min="1" max="1" width="10.140625" style="130" hidden="1" customWidth="1"/>
    <col min="2" max="3" width="9.8515625" style="130" customWidth="1"/>
    <col min="4" max="4" width="7.8515625" style="130" customWidth="1"/>
    <col min="5" max="5" width="12.57421875" style="130" customWidth="1"/>
    <col min="6" max="8" width="13.140625" style="130" customWidth="1"/>
    <col min="9" max="9" width="3.57421875" style="130" customWidth="1"/>
    <col min="10" max="10" width="5.421875" style="130" customWidth="1"/>
    <col min="11" max="11" width="9.8515625" style="130" customWidth="1"/>
    <col min="12" max="12" width="3.00390625" style="130" customWidth="1"/>
    <col min="13" max="14" width="7.8515625" style="130" customWidth="1"/>
    <col min="15" max="15" width="4.421875" style="130" customWidth="1"/>
    <col min="16" max="16" width="6.140625" style="130" customWidth="1"/>
    <col min="17" max="17" width="5.28125" style="130" customWidth="1"/>
    <col min="18" max="21" width="4.421875" style="130" customWidth="1"/>
    <col min="22" max="24" width="3.00390625" style="130" customWidth="1"/>
    <col min="25" max="25" width="3.57421875" style="130" customWidth="1"/>
    <col min="26" max="26" width="3.00390625" style="130" customWidth="1"/>
    <col min="27" max="27" width="4.8515625" style="130" customWidth="1"/>
    <col min="28" max="28" width="7.8515625" style="130" customWidth="1"/>
    <col min="29" max="29" width="3.8515625" style="130" customWidth="1"/>
    <col min="30" max="30" width="7.28125" style="130" customWidth="1"/>
    <col min="31" max="31" width="4.00390625" style="130" customWidth="1"/>
    <col min="32" max="32" width="4.8515625" style="130" customWidth="1"/>
    <col min="33" max="35" width="4.00390625" style="130" customWidth="1"/>
    <col min="36" max="36" width="4.8515625" style="130" customWidth="1"/>
    <col min="37" max="37" width="4.00390625" style="130" customWidth="1"/>
    <col min="38" max="38" width="4.8515625" style="130" customWidth="1"/>
    <col min="39" max="39" width="4.00390625" style="130" customWidth="1"/>
    <col min="40" max="40" width="4.8515625" style="130" customWidth="1"/>
    <col min="41" max="16384" width="8.8515625" style="130" customWidth="1"/>
  </cols>
  <sheetData>
    <row r="1" ht="15.75">
      <c r="B1" s="219" t="s">
        <v>690</v>
      </c>
    </row>
    <row r="2" spans="1:40" s="213" customFormat="1" ht="11.25" hidden="1">
      <c r="A2" s="213" t="s">
        <v>618</v>
      </c>
      <c r="B2" s="213">
        <v>1</v>
      </c>
      <c r="C2" s="213">
        <v>2</v>
      </c>
      <c r="D2" s="213">
        <v>3</v>
      </c>
      <c r="E2" s="213">
        <v>4</v>
      </c>
      <c r="F2" s="213">
        <v>5</v>
      </c>
      <c r="G2" s="213">
        <v>6</v>
      </c>
      <c r="H2" s="213">
        <v>7</v>
      </c>
      <c r="I2" s="213">
        <v>8</v>
      </c>
      <c r="J2" s="213">
        <v>9</v>
      </c>
      <c r="K2" s="213">
        <v>10</v>
      </c>
      <c r="L2" s="213">
        <v>11</v>
      </c>
      <c r="M2" s="213">
        <v>12</v>
      </c>
      <c r="N2" s="213">
        <v>13</v>
      </c>
      <c r="O2" s="213">
        <v>14</v>
      </c>
      <c r="P2" s="213">
        <v>15</v>
      </c>
      <c r="Q2" s="213">
        <v>16</v>
      </c>
      <c r="R2" s="213">
        <v>17</v>
      </c>
      <c r="S2" s="213">
        <v>18</v>
      </c>
      <c r="T2" s="213">
        <v>19</v>
      </c>
      <c r="U2" s="213">
        <v>20</v>
      </c>
      <c r="V2" s="213">
        <v>21</v>
      </c>
      <c r="W2" s="213">
        <v>22</v>
      </c>
      <c r="X2" s="213">
        <v>23</v>
      </c>
      <c r="Y2" s="213">
        <v>24</v>
      </c>
      <c r="Z2" s="213">
        <v>25</v>
      </c>
      <c r="AA2" s="213">
        <v>26</v>
      </c>
      <c r="AB2" s="213">
        <v>27</v>
      </c>
      <c r="AC2" s="213">
        <v>28</v>
      </c>
      <c r="AD2" s="213">
        <v>29</v>
      </c>
      <c r="AE2" s="213">
        <v>30</v>
      </c>
      <c r="AF2" s="213">
        <v>31</v>
      </c>
      <c r="AG2" s="213">
        <v>32</v>
      </c>
      <c r="AH2" s="213">
        <v>33</v>
      </c>
      <c r="AI2" s="213">
        <v>34</v>
      </c>
      <c r="AJ2" s="213">
        <v>35</v>
      </c>
      <c r="AK2" s="213">
        <v>36</v>
      </c>
      <c r="AL2" s="213">
        <v>37</v>
      </c>
      <c r="AM2" s="213">
        <v>38</v>
      </c>
      <c r="AN2" s="213">
        <v>39</v>
      </c>
    </row>
    <row r="3" spans="1:40" s="211" customFormat="1" ht="10.5" hidden="1">
      <c r="A3" s="211" t="s">
        <v>619</v>
      </c>
      <c r="B3" s="211">
        <v>7</v>
      </c>
      <c r="C3" s="211">
        <v>8</v>
      </c>
      <c r="D3" s="211">
        <v>9</v>
      </c>
      <c r="E3" s="211">
        <v>10</v>
      </c>
      <c r="F3" s="211">
        <v>11</v>
      </c>
      <c r="G3" s="211">
        <v>12</v>
      </c>
      <c r="H3" s="211">
        <v>13</v>
      </c>
      <c r="I3" s="211">
        <v>17</v>
      </c>
      <c r="J3" s="211">
        <v>15</v>
      </c>
      <c r="K3" s="211">
        <v>16</v>
      </c>
      <c r="L3" s="211">
        <v>21</v>
      </c>
      <c r="M3" s="211">
        <v>19</v>
      </c>
      <c r="N3" s="211">
        <v>20</v>
      </c>
      <c r="O3" s="211">
        <v>22</v>
      </c>
      <c r="P3" s="211">
        <v>23</v>
      </c>
      <c r="Q3" s="211">
        <v>24</v>
      </c>
      <c r="R3" s="211">
        <v>25</v>
      </c>
      <c r="S3" s="211">
        <v>26</v>
      </c>
      <c r="T3" s="211">
        <v>27</v>
      </c>
      <c r="U3" s="211">
        <v>28</v>
      </c>
      <c r="V3" s="211">
        <v>29</v>
      </c>
      <c r="W3" s="211">
        <v>30</v>
      </c>
      <c r="X3" s="211">
        <v>31</v>
      </c>
      <c r="Y3" s="211">
        <v>32</v>
      </c>
      <c r="Z3" s="211">
        <v>33</v>
      </c>
      <c r="AA3" s="211">
        <v>34</v>
      </c>
      <c r="AB3" s="211">
        <v>35</v>
      </c>
      <c r="AC3" s="211">
        <v>14</v>
      </c>
      <c r="AD3" s="211">
        <v>18</v>
      </c>
      <c r="AE3" s="211">
        <v>42</v>
      </c>
      <c r="AF3" s="211">
        <v>36</v>
      </c>
      <c r="AG3" s="211">
        <v>37</v>
      </c>
      <c r="AH3" s="211">
        <v>38</v>
      </c>
      <c r="AI3" s="211">
        <v>39</v>
      </c>
      <c r="AJ3" s="211">
        <v>40</v>
      </c>
      <c r="AK3" s="211">
        <v>41</v>
      </c>
      <c r="AL3" s="211">
        <v>44</v>
      </c>
      <c r="AM3" s="211">
        <v>43</v>
      </c>
      <c r="AN3" s="211">
        <v>45</v>
      </c>
    </row>
    <row r="4" spans="1:40" ht="11.25">
      <c r="A4" s="130" t="s">
        <v>696</v>
      </c>
      <c r="B4" s="71" t="str">
        <f aca="true" t="shared" si="0" ref="B4:K13">VLOOKUP($A4,Format_2_Table,B$3,FALSE)</f>
        <v>LDCDUNS##</v>
      </c>
      <c r="C4" s="71" t="str">
        <f t="shared" si="0"/>
        <v>SUPDUNS##</v>
      </c>
      <c r="D4" s="179">
        <f t="shared" si="0"/>
        <v>36013</v>
      </c>
      <c r="E4" s="71" t="str">
        <f t="shared" si="0"/>
        <v>Invoice No</v>
      </c>
      <c r="F4" s="71" t="str">
        <f t="shared" si="0"/>
        <v>S0000000000009</v>
      </c>
      <c r="G4" s="71" t="str">
        <f t="shared" si="0"/>
        <v>D0000000000009</v>
      </c>
      <c r="H4" s="71">
        <f t="shared" si="0"/>
        <v>0</v>
      </c>
      <c r="I4" s="71" t="str">
        <f t="shared" si="0"/>
        <v>P</v>
      </c>
      <c r="J4" s="71" t="str">
        <f t="shared" si="0"/>
        <v>E</v>
      </c>
      <c r="K4" s="38" t="str">
        <f t="shared" si="0"/>
        <v>M000000015</v>
      </c>
      <c r="L4" s="38" t="str">
        <f aca="true" t="shared" si="1" ref="L4:U13">VLOOKUP($A4,Format_2_Table,L$3,FALSE)</f>
        <v>N</v>
      </c>
      <c r="M4" s="179">
        <f t="shared" si="1"/>
        <v>36013</v>
      </c>
      <c r="N4" s="179">
        <f t="shared" si="1"/>
        <v>35983</v>
      </c>
      <c r="O4" s="71">
        <f t="shared" si="1"/>
        <v>350</v>
      </c>
      <c r="P4" s="71">
        <f t="shared" si="1"/>
        <v>0</v>
      </c>
      <c r="Q4" s="71" t="str">
        <f t="shared" si="1"/>
        <v> </v>
      </c>
      <c r="R4" s="71" t="str">
        <f t="shared" si="1"/>
        <v> </v>
      </c>
      <c r="S4" s="71" t="str">
        <f t="shared" si="1"/>
        <v> </v>
      </c>
      <c r="T4" s="71" t="str">
        <f t="shared" si="1"/>
        <v> </v>
      </c>
      <c r="U4" s="71" t="str">
        <f t="shared" si="1"/>
        <v> </v>
      </c>
      <c r="V4" s="71" t="str">
        <f aca="true" t="shared" si="2" ref="V4:AK13">VLOOKUP($A4,Format_2_Table,V$3,FALSE)</f>
        <v> </v>
      </c>
      <c r="W4" s="71" t="str">
        <f t="shared" si="2"/>
        <v> </v>
      </c>
      <c r="X4" s="71" t="str">
        <f t="shared" si="2"/>
        <v> </v>
      </c>
      <c r="Y4" s="71" t="str">
        <f t="shared" si="2"/>
        <v> </v>
      </c>
      <c r="Z4" s="15" t="str">
        <f t="shared" si="2"/>
        <v> </v>
      </c>
      <c r="AA4" s="43" t="str">
        <f t="shared" si="2"/>
        <v> </v>
      </c>
      <c r="AB4" s="179" t="str">
        <f t="shared" si="2"/>
        <v> </v>
      </c>
      <c r="AC4" s="43" t="str">
        <f t="shared" si="2"/>
        <v> </v>
      </c>
      <c r="AD4" s="43" t="str">
        <f t="shared" si="2"/>
        <v> </v>
      </c>
      <c r="AE4" s="43" t="str">
        <f t="shared" si="2"/>
        <v> </v>
      </c>
      <c r="AF4" s="43" t="str">
        <f t="shared" si="2"/>
        <v> </v>
      </c>
      <c r="AG4" s="43" t="str">
        <f t="shared" si="2"/>
        <v> </v>
      </c>
      <c r="AH4" s="43" t="str">
        <f t="shared" si="2"/>
        <v> </v>
      </c>
      <c r="AI4" s="43" t="str">
        <f t="shared" si="2"/>
        <v> </v>
      </c>
      <c r="AJ4" s="43" t="str">
        <f t="shared" si="2"/>
        <v> </v>
      </c>
      <c r="AK4" s="43" t="str">
        <f t="shared" si="2"/>
        <v> </v>
      </c>
      <c r="AL4" s="43" t="str">
        <f aca="true" t="shared" si="3" ref="AK4:AN19">VLOOKUP($A4,Format_2_Table,AL$3,FALSE)</f>
        <v> </v>
      </c>
      <c r="AM4" s="43" t="str">
        <f t="shared" si="3"/>
        <v> </v>
      </c>
      <c r="AN4" s="43" t="str">
        <f t="shared" si="3"/>
        <v> </v>
      </c>
    </row>
    <row r="5" spans="1:40" ht="11.25">
      <c r="A5" s="130" t="s">
        <v>697</v>
      </c>
      <c r="B5" s="71" t="str">
        <f t="shared" si="0"/>
        <v>LDCDUNS##</v>
      </c>
      <c r="C5" s="71" t="str">
        <f t="shared" si="0"/>
        <v>SUPDUNS##</v>
      </c>
      <c r="D5" s="179">
        <f t="shared" si="0"/>
        <v>36013</v>
      </c>
      <c r="E5" s="71" t="str">
        <f t="shared" si="0"/>
        <v>Invoice No</v>
      </c>
      <c r="F5" s="71" t="str">
        <f t="shared" si="0"/>
        <v>S0000000000010</v>
      </c>
      <c r="G5" s="71" t="str">
        <f t="shared" si="0"/>
        <v>D0000000000010</v>
      </c>
      <c r="H5" s="71">
        <f t="shared" si="0"/>
        <v>0</v>
      </c>
      <c r="I5" s="71" t="str">
        <f t="shared" si="0"/>
        <v>P</v>
      </c>
      <c r="J5" s="71" t="str">
        <f t="shared" si="0"/>
        <v>D</v>
      </c>
      <c r="K5" s="38" t="str">
        <f t="shared" si="0"/>
        <v>M000000017</v>
      </c>
      <c r="L5" s="38" t="str">
        <f t="shared" si="1"/>
        <v>N</v>
      </c>
      <c r="M5" s="179">
        <f t="shared" si="1"/>
        <v>36013</v>
      </c>
      <c r="N5" s="179">
        <f t="shared" si="1"/>
        <v>35983</v>
      </c>
      <c r="O5" s="71">
        <f t="shared" si="1"/>
        <v>1200</v>
      </c>
      <c r="P5" s="71">
        <f t="shared" si="1"/>
        <v>0</v>
      </c>
      <c r="Q5" s="71">
        <f t="shared" si="1"/>
        <v>6.3</v>
      </c>
      <c r="R5" s="71" t="str">
        <f t="shared" si="1"/>
        <v> </v>
      </c>
      <c r="S5" s="71" t="str">
        <f t="shared" si="1"/>
        <v> </v>
      </c>
      <c r="T5" s="71" t="str">
        <f t="shared" si="1"/>
        <v> </v>
      </c>
      <c r="U5" s="71" t="str">
        <f t="shared" si="1"/>
        <v> </v>
      </c>
      <c r="V5" s="71" t="str">
        <f t="shared" si="2"/>
        <v> </v>
      </c>
      <c r="W5" s="71" t="str">
        <f t="shared" si="2"/>
        <v> </v>
      </c>
      <c r="X5" s="71" t="str">
        <f t="shared" si="2"/>
        <v> </v>
      </c>
      <c r="Y5" s="71" t="str">
        <f t="shared" si="2"/>
        <v> </v>
      </c>
      <c r="Z5" s="15" t="str">
        <f t="shared" si="2"/>
        <v> </v>
      </c>
      <c r="AA5" s="43" t="str">
        <f t="shared" si="2"/>
        <v> </v>
      </c>
      <c r="AB5" s="179" t="str">
        <f t="shared" si="2"/>
        <v> </v>
      </c>
      <c r="AC5" s="43" t="str">
        <f t="shared" si="2"/>
        <v> </v>
      </c>
      <c r="AD5" s="43" t="str">
        <f t="shared" si="2"/>
        <v> </v>
      </c>
      <c r="AE5" s="43" t="str">
        <f t="shared" si="2"/>
        <v> </v>
      </c>
      <c r="AF5" s="43" t="str">
        <f t="shared" si="2"/>
        <v> </v>
      </c>
      <c r="AG5" s="43" t="str">
        <f t="shared" si="2"/>
        <v> </v>
      </c>
      <c r="AH5" s="43" t="str">
        <f t="shared" si="2"/>
        <v> </v>
      </c>
      <c r="AI5" s="43" t="str">
        <f t="shared" si="2"/>
        <v> </v>
      </c>
      <c r="AJ5" s="43" t="str">
        <f t="shared" si="2"/>
        <v> </v>
      </c>
      <c r="AK5" s="43" t="str">
        <f t="shared" si="3"/>
        <v> </v>
      </c>
      <c r="AL5" s="43" t="str">
        <f t="shared" si="3"/>
        <v> </v>
      </c>
      <c r="AM5" s="43" t="str">
        <f t="shared" si="3"/>
        <v> </v>
      </c>
      <c r="AN5" s="43" t="str">
        <f t="shared" si="3"/>
        <v> </v>
      </c>
    </row>
    <row r="6" spans="1:40" ht="11.25">
      <c r="A6" s="130" t="s">
        <v>698</v>
      </c>
      <c r="B6" s="71" t="str">
        <f t="shared" si="0"/>
        <v>LDCDUNS##</v>
      </c>
      <c r="C6" s="71" t="str">
        <f t="shared" si="0"/>
        <v>SUPDUNS##</v>
      </c>
      <c r="D6" s="179">
        <f t="shared" si="0"/>
        <v>36013</v>
      </c>
      <c r="E6" s="71" t="str">
        <f t="shared" si="0"/>
        <v>Invoice No</v>
      </c>
      <c r="F6" s="71" t="str">
        <f t="shared" si="0"/>
        <v>S0000000000010</v>
      </c>
      <c r="G6" s="71" t="str">
        <f t="shared" si="0"/>
        <v>D0000000000010</v>
      </c>
      <c r="H6" s="71">
        <f t="shared" si="0"/>
        <v>0</v>
      </c>
      <c r="I6" s="71" t="str">
        <f t="shared" si="0"/>
        <v>P</v>
      </c>
      <c r="J6" s="71" t="str">
        <f t="shared" si="0"/>
        <v>D</v>
      </c>
      <c r="K6" s="38" t="str">
        <f t="shared" si="0"/>
        <v>M000000018</v>
      </c>
      <c r="L6" s="38" t="str">
        <f t="shared" si="1"/>
        <v>N</v>
      </c>
      <c r="M6" s="179">
        <f t="shared" si="1"/>
        <v>36013</v>
      </c>
      <c r="N6" s="179">
        <f t="shared" si="1"/>
        <v>35983</v>
      </c>
      <c r="O6" s="71">
        <f t="shared" si="1"/>
        <v>400</v>
      </c>
      <c r="P6" s="71">
        <f t="shared" si="1"/>
        <v>0</v>
      </c>
      <c r="Q6" s="71">
        <f t="shared" si="1"/>
        <v>2.1</v>
      </c>
      <c r="R6" s="71" t="str">
        <f t="shared" si="1"/>
        <v> </v>
      </c>
      <c r="S6" s="71" t="str">
        <f t="shared" si="1"/>
        <v> </v>
      </c>
      <c r="T6" s="71" t="str">
        <f t="shared" si="1"/>
        <v> </v>
      </c>
      <c r="U6" s="71" t="str">
        <f t="shared" si="1"/>
        <v> </v>
      </c>
      <c r="V6" s="71" t="str">
        <f t="shared" si="2"/>
        <v> </v>
      </c>
      <c r="W6" s="71" t="str">
        <f t="shared" si="2"/>
        <v> </v>
      </c>
      <c r="X6" s="71" t="str">
        <f t="shared" si="2"/>
        <v> </v>
      </c>
      <c r="Y6" s="71" t="str">
        <f t="shared" si="2"/>
        <v> </v>
      </c>
      <c r="Z6" s="15" t="str">
        <f t="shared" si="2"/>
        <v> </v>
      </c>
      <c r="AA6" s="43" t="str">
        <f t="shared" si="2"/>
        <v> </v>
      </c>
      <c r="AB6" s="179" t="str">
        <f t="shared" si="2"/>
        <v> </v>
      </c>
      <c r="AC6" s="43" t="str">
        <f t="shared" si="2"/>
        <v> </v>
      </c>
      <c r="AD6" s="43" t="str">
        <f t="shared" si="2"/>
        <v> </v>
      </c>
      <c r="AE6" s="43" t="str">
        <f t="shared" si="2"/>
        <v> </v>
      </c>
      <c r="AF6" s="43" t="str">
        <f t="shared" si="2"/>
        <v> </v>
      </c>
      <c r="AG6" s="43" t="str">
        <f t="shared" si="2"/>
        <v> </v>
      </c>
      <c r="AH6" s="43" t="str">
        <f t="shared" si="2"/>
        <v> </v>
      </c>
      <c r="AI6" s="43" t="str">
        <f t="shared" si="2"/>
        <v> </v>
      </c>
      <c r="AJ6" s="43" t="str">
        <f t="shared" si="2"/>
        <v> </v>
      </c>
      <c r="AK6" s="43" t="str">
        <f t="shared" si="3"/>
        <v> </v>
      </c>
      <c r="AL6" s="43" t="str">
        <f t="shared" si="3"/>
        <v> </v>
      </c>
      <c r="AM6" s="43" t="str">
        <f t="shared" si="3"/>
        <v> </v>
      </c>
      <c r="AN6" s="43" t="str">
        <f t="shared" si="3"/>
        <v> </v>
      </c>
    </row>
    <row r="7" spans="1:40" ht="11.25">
      <c r="A7" s="130" t="s">
        <v>699</v>
      </c>
      <c r="B7" s="71" t="str">
        <f t="shared" si="0"/>
        <v>LDCDUNS##</v>
      </c>
      <c r="C7" s="71" t="str">
        <f t="shared" si="0"/>
        <v>SUPDUNS##</v>
      </c>
      <c r="D7" s="179">
        <f t="shared" si="0"/>
        <v>36013</v>
      </c>
      <c r="E7" s="71" t="str">
        <f t="shared" si="0"/>
        <v>Invoice No</v>
      </c>
      <c r="F7" s="71" t="str">
        <f t="shared" si="0"/>
        <v>S0000000000011</v>
      </c>
      <c r="G7" s="71" t="str">
        <f t="shared" si="0"/>
        <v>D0000000000011</v>
      </c>
      <c r="H7" s="71">
        <f t="shared" si="0"/>
        <v>0</v>
      </c>
      <c r="I7" s="71" t="str">
        <f t="shared" si="0"/>
        <v>C</v>
      </c>
      <c r="J7" s="71" t="str">
        <f t="shared" si="0"/>
        <v>E</v>
      </c>
      <c r="K7" s="38" t="str">
        <f t="shared" si="0"/>
        <v>M000000019</v>
      </c>
      <c r="L7" s="38" t="str">
        <f t="shared" si="1"/>
        <v>N</v>
      </c>
      <c r="M7" s="179">
        <f t="shared" si="1"/>
        <v>36013</v>
      </c>
      <c r="N7" s="179">
        <f t="shared" si="1"/>
        <v>35983</v>
      </c>
      <c r="O7" s="71">
        <f t="shared" si="1"/>
        <v>600</v>
      </c>
      <c r="P7" s="71">
        <f t="shared" si="1"/>
        <v>0</v>
      </c>
      <c r="Q7" s="71" t="str">
        <f t="shared" si="1"/>
        <v> </v>
      </c>
      <c r="R7" s="71" t="str">
        <f t="shared" si="1"/>
        <v> </v>
      </c>
      <c r="S7" s="71" t="str">
        <f t="shared" si="1"/>
        <v> </v>
      </c>
      <c r="T7" s="71" t="str">
        <f t="shared" si="1"/>
        <v> </v>
      </c>
      <c r="U7" s="71" t="str">
        <f t="shared" si="1"/>
        <v> </v>
      </c>
      <c r="V7" s="71" t="str">
        <f t="shared" si="2"/>
        <v> </v>
      </c>
      <c r="W7" s="71" t="str">
        <f t="shared" si="2"/>
        <v> </v>
      </c>
      <c r="X7" s="71" t="str">
        <f t="shared" si="2"/>
        <v> </v>
      </c>
      <c r="Y7" s="71" t="str">
        <f t="shared" si="2"/>
        <v> </v>
      </c>
      <c r="Z7" s="15" t="str">
        <f t="shared" si="2"/>
        <v> </v>
      </c>
      <c r="AA7" s="43">
        <f t="shared" si="2"/>
        <v>6</v>
      </c>
      <c r="AB7" s="179">
        <f t="shared" si="2"/>
        <v>36013</v>
      </c>
      <c r="AC7" s="43" t="str">
        <f t="shared" si="2"/>
        <v>R01</v>
      </c>
      <c r="AD7" s="43" t="str">
        <f t="shared" si="2"/>
        <v>R000001</v>
      </c>
      <c r="AE7" s="43">
        <f t="shared" si="2"/>
        <v>0</v>
      </c>
      <c r="AF7" s="43">
        <f t="shared" si="2"/>
        <v>16.8</v>
      </c>
      <c r="AG7" s="43">
        <f t="shared" si="2"/>
        <v>0</v>
      </c>
      <c r="AH7" s="43">
        <f t="shared" si="2"/>
        <v>0</v>
      </c>
      <c r="AI7" s="43">
        <f t="shared" si="2"/>
        <v>0</v>
      </c>
      <c r="AJ7" s="43">
        <f t="shared" si="2"/>
        <v>0</v>
      </c>
      <c r="AK7" s="43">
        <f t="shared" si="3"/>
        <v>0</v>
      </c>
      <c r="AL7" s="43">
        <f t="shared" si="3"/>
        <v>0</v>
      </c>
      <c r="AM7" s="43">
        <f t="shared" si="3"/>
        <v>0</v>
      </c>
      <c r="AN7" s="43">
        <f t="shared" si="3"/>
        <v>16.8</v>
      </c>
    </row>
    <row r="8" spans="1:40" ht="11.25">
      <c r="A8" s="130" t="s">
        <v>700</v>
      </c>
      <c r="B8" s="71" t="str">
        <f t="shared" si="0"/>
        <v>LDCDUNS##</v>
      </c>
      <c r="C8" s="71" t="str">
        <f t="shared" si="0"/>
        <v>SUPDUNS##</v>
      </c>
      <c r="D8" s="179">
        <f t="shared" si="0"/>
        <v>36013</v>
      </c>
      <c r="E8" s="71" t="str">
        <f t="shared" si="0"/>
        <v>Invoice No</v>
      </c>
      <c r="F8" s="71" t="str">
        <f t="shared" si="0"/>
        <v>S0000000000012</v>
      </c>
      <c r="G8" s="71" t="str">
        <f t="shared" si="0"/>
        <v>D0000000000012</v>
      </c>
      <c r="H8" s="71">
        <f t="shared" si="0"/>
        <v>0</v>
      </c>
      <c r="I8" s="71" t="str">
        <f t="shared" si="0"/>
        <v>C</v>
      </c>
      <c r="J8" s="71" t="str">
        <f t="shared" si="0"/>
        <v>D</v>
      </c>
      <c r="K8" s="38" t="str">
        <f t="shared" si="0"/>
        <v>M000000021</v>
      </c>
      <c r="L8" s="38" t="str">
        <f t="shared" si="1"/>
        <v>N</v>
      </c>
      <c r="M8" s="179">
        <f t="shared" si="1"/>
        <v>36013</v>
      </c>
      <c r="N8" s="179">
        <f t="shared" si="1"/>
        <v>35983</v>
      </c>
      <c r="O8" s="71">
        <f t="shared" si="1"/>
        <v>1000</v>
      </c>
      <c r="P8" s="71">
        <f t="shared" si="1"/>
        <v>0</v>
      </c>
      <c r="Q8" s="71">
        <f t="shared" si="1"/>
        <v>12.5</v>
      </c>
      <c r="R8" s="71" t="str">
        <f t="shared" si="1"/>
        <v> </v>
      </c>
      <c r="S8" s="71" t="str">
        <f t="shared" si="1"/>
        <v> </v>
      </c>
      <c r="T8" s="71" t="str">
        <f t="shared" si="1"/>
        <v> </v>
      </c>
      <c r="U8" s="71" t="str">
        <f t="shared" si="1"/>
        <v> </v>
      </c>
      <c r="V8" s="71" t="str">
        <f t="shared" si="2"/>
        <v> </v>
      </c>
      <c r="W8" s="71" t="str">
        <f t="shared" si="2"/>
        <v> </v>
      </c>
      <c r="X8" s="71" t="str">
        <f t="shared" si="2"/>
        <v> </v>
      </c>
      <c r="Y8" s="71">
        <f t="shared" si="2"/>
        <v>15</v>
      </c>
      <c r="Z8" s="15" t="str">
        <f t="shared" si="2"/>
        <v> </v>
      </c>
      <c r="AA8" s="43">
        <f t="shared" si="2"/>
        <v>6</v>
      </c>
      <c r="AB8" s="179">
        <f t="shared" si="2"/>
        <v>36013</v>
      </c>
      <c r="AC8" s="43" t="str">
        <f t="shared" si="2"/>
        <v>G00</v>
      </c>
      <c r="AD8" s="43" t="str">
        <f t="shared" si="2"/>
        <v>G000001</v>
      </c>
      <c r="AE8" s="43" t="str">
        <f t="shared" si="2"/>
        <v> </v>
      </c>
      <c r="AF8" s="43">
        <f t="shared" si="2"/>
        <v>32.5</v>
      </c>
      <c r="AG8" s="43">
        <f t="shared" si="2"/>
        <v>0</v>
      </c>
      <c r="AH8" s="43">
        <f t="shared" si="2"/>
        <v>0</v>
      </c>
      <c r="AI8" s="43">
        <f t="shared" si="2"/>
        <v>0</v>
      </c>
      <c r="AJ8" s="43">
        <f t="shared" si="2"/>
        <v>12.5</v>
      </c>
      <c r="AK8" s="43">
        <f t="shared" si="3"/>
        <v>0</v>
      </c>
      <c r="AL8" s="43" t="str">
        <f t="shared" si="3"/>
        <v> </v>
      </c>
      <c r="AM8" s="43" t="str">
        <f t="shared" si="3"/>
        <v> </v>
      </c>
      <c r="AN8" s="43" t="str">
        <f t="shared" si="3"/>
        <v> </v>
      </c>
    </row>
    <row r="9" spans="1:40" ht="11.25">
      <c r="A9" s="130" t="s">
        <v>701</v>
      </c>
      <c r="B9" s="71" t="str">
        <f t="shared" si="0"/>
        <v>LDCDUNS##</v>
      </c>
      <c r="C9" s="71" t="str">
        <f t="shared" si="0"/>
        <v>SUPDUNS##</v>
      </c>
      <c r="D9" s="179">
        <f t="shared" si="0"/>
        <v>36013</v>
      </c>
      <c r="E9" s="71" t="str">
        <f t="shared" si="0"/>
        <v>Invoice No</v>
      </c>
      <c r="F9" s="71" t="str">
        <f t="shared" si="0"/>
        <v>S0000000000012</v>
      </c>
      <c r="G9" s="71" t="str">
        <f t="shared" si="0"/>
        <v>D0000000000012</v>
      </c>
      <c r="H9" s="71">
        <f t="shared" si="0"/>
        <v>0</v>
      </c>
      <c r="I9" s="71" t="str">
        <f t="shared" si="0"/>
        <v>C</v>
      </c>
      <c r="J9" s="71" t="str">
        <f t="shared" si="0"/>
        <v>D</v>
      </c>
      <c r="K9" s="38" t="str">
        <f t="shared" si="0"/>
        <v>M000000022</v>
      </c>
      <c r="L9" s="38" t="str">
        <f t="shared" si="1"/>
        <v>N</v>
      </c>
      <c r="M9" s="179">
        <f t="shared" si="1"/>
        <v>36013</v>
      </c>
      <c r="N9" s="179">
        <f t="shared" si="1"/>
        <v>35983</v>
      </c>
      <c r="O9" s="71">
        <f t="shared" si="1"/>
        <v>500</v>
      </c>
      <c r="P9" s="71">
        <f t="shared" si="1"/>
        <v>0</v>
      </c>
      <c r="Q9" s="71">
        <f t="shared" si="1"/>
        <v>3.1</v>
      </c>
      <c r="R9" s="71" t="str">
        <f t="shared" si="1"/>
        <v> </v>
      </c>
      <c r="S9" s="71" t="str">
        <f t="shared" si="1"/>
        <v> </v>
      </c>
      <c r="T9" s="71" t="str">
        <f t="shared" si="1"/>
        <v> </v>
      </c>
      <c r="U9" s="71" t="str">
        <f t="shared" si="1"/>
        <v> </v>
      </c>
      <c r="V9" s="71" t="str">
        <f t="shared" si="2"/>
        <v> </v>
      </c>
      <c r="W9" s="71" t="str">
        <f t="shared" si="2"/>
        <v> </v>
      </c>
      <c r="X9" s="71" t="str">
        <f t="shared" si="2"/>
        <v> </v>
      </c>
      <c r="Y9" s="71">
        <f t="shared" si="2"/>
        <v>4.5</v>
      </c>
      <c r="Z9" s="15" t="str">
        <f t="shared" si="2"/>
        <v> </v>
      </c>
      <c r="AA9" s="43">
        <f t="shared" si="2"/>
        <v>6</v>
      </c>
      <c r="AB9" s="179">
        <f t="shared" si="2"/>
        <v>36013</v>
      </c>
      <c r="AC9" s="43" t="str">
        <f t="shared" si="2"/>
        <v>G00</v>
      </c>
      <c r="AD9" s="43" t="str">
        <f t="shared" si="2"/>
        <v>G000001</v>
      </c>
      <c r="AE9" s="43">
        <f t="shared" si="2"/>
        <v>0</v>
      </c>
      <c r="AF9" s="43">
        <f t="shared" si="2"/>
        <v>13.1</v>
      </c>
      <c r="AG9" s="43">
        <f t="shared" si="2"/>
        <v>0</v>
      </c>
      <c r="AH9" s="43">
        <f t="shared" si="2"/>
        <v>0</v>
      </c>
      <c r="AI9" s="43">
        <f t="shared" si="2"/>
        <v>0</v>
      </c>
      <c r="AJ9" s="43">
        <f t="shared" si="2"/>
        <v>3.1</v>
      </c>
      <c r="AK9" s="43">
        <f t="shared" si="3"/>
        <v>0</v>
      </c>
      <c r="AL9" s="43">
        <f t="shared" si="3"/>
        <v>0</v>
      </c>
      <c r="AM9" s="43">
        <f t="shared" si="3"/>
        <v>0</v>
      </c>
      <c r="AN9" s="43">
        <f t="shared" si="3"/>
        <v>61.2</v>
      </c>
    </row>
    <row r="10" spans="1:40" ht="11.25">
      <c r="A10" s="130" t="s">
        <v>702</v>
      </c>
      <c r="B10" s="71" t="str">
        <f t="shared" si="0"/>
        <v>LDCDUNS##</v>
      </c>
      <c r="C10" s="71" t="str">
        <f t="shared" si="0"/>
        <v>SUPDUNS##</v>
      </c>
      <c r="D10" s="179">
        <f t="shared" si="0"/>
        <v>36013</v>
      </c>
      <c r="E10" s="71" t="str">
        <f t="shared" si="0"/>
        <v>Invoice No</v>
      </c>
      <c r="F10" s="71" t="str">
        <f t="shared" si="0"/>
        <v>S0000000000013</v>
      </c>
      <c r="G10" s="71" t="str">
        <f t="shared" si="0"/>
        <v>D0000000000013</v>
      </c>
      <c r="H10" s="71">
        <f t="shared" si="0"/>
        <v>6</v>
      </c>
      <c r="I10" s="71" t="str">
        <f t="shared" si="0"/>
        <v>P</v>
      </c>
      <c r="J10" s="71" t="str">
        <f t="shared" si="0"/>
        <v>E</v>
      </c>
      <c r="K10" s="38" t="str">
        <f t="shared" si="0"/>
        <v>M000000023</v>
      </c>
      <c r="L10" s="38" t="str">
        <f t="shared" si="1"/>
        <v>N</v>
      </c>
      <c r="M10" s="179">
        <f t="shared" si="1"/>
        <v>36013</v>
      </c>
      <c r="N10" s="179">
        <f t="shared" si="1"/>
        <v>35983</v>
      </c>
      <c r="O10" s="71">
        <f t="shared" si="1"/>
        <v>525</v>
      </c>
      <c r="P10" s="71">
        <f t="shared" si="1"/>
        <v>0</v>
      </c>
      <c r="Q10" s="71" t="str">
        <f t="shared" si="1"/>
        <v> </v>
      </c>
      <c r="R10" s="71" t="str">
        <f t="shared" si="1"/>
        <v> </v>
      </c>
      <c r="S10" s="71" t="str">
        <f t="shared" si="1"/>
        <v> </v>
      </c>
      <c r="T10" s="71" t="str">
        <f t="shared" si="1"/>
        <v> </v>
      </c>
      <c r="U10" s="71" t="str">
        <f t="shared" si="1"/>
        <v> </v>
      </c>
      <c r="V10" s="71" t="str">
        <f t="shared" si="2"/>
        <v> </v>
      </c>
      <c r="W10" s="71" t="str">
        <f t="shared" si="2"/>
        <v> </v>
      </c>
      <c r="X10" s="71" t="str">
        <f t="shared" si="2"/>
        <v> </v>
      </c>
      <c r="Y10" s="71" t="str">
        <f t="shared" si="2"/>
        <v> </v>
      </c>
      <c r="Z10" s="15" t="str">
        <f t="shared" si="2"/>
        <v> </v>
      </c>
      <c r="AA10" s="43" t="str">
        <f t="shared" si="2"/>
        <v> </v>
      </c>
      <c r="AB10" s="179" t="str">
        <f t="shared" si="2"/>
        <v> </v>
      </c>
      <c r="AC10" s="43" t="str">
        <f t="shared" si="2"/>
        <v> </v>
      </c>
      <c r="AD10" s="43" t="str">
        <f t="shared" si="2"/>
        <v> </v>
      </c>
      <c r="AE10" s="43" t="str">
        <f t="shared" si="2"/>
        <v> </v>
      </c>
      <c r="AF10" s="43" t="str">
        <f t="shared" si="2"/>
        <v> </v>
      </c>
      <c r="AG10" s="43" t="str">
        <f t="shared" si="2"/>
        <v> </v>
      </c>
      <c r="AH10" s="43" t="str">
        <f t="shared" si="2"/>
        <v> </v>
      </c>
      <c r="AI10" s="43" t="str">
        <f t="shared" si="2"/>
        <v> </v>
      </c>
      <c r="AJ10" s="43" t="str">
        <f t="shared" si="2"/>
        <v> </v>
      </c>
      <c r="AK10" s="43" t="str">
        <f t="shared" si="3"/>
        <v> </v>
      </c>
      <c r="AL10" s="43" t="str">
        <f t="shared" si="3"/>
        <v> </v>
      </c>
      <c r="AM10" s="43" t="str">
        <f t="shared" si="3"/>
        <v> </v>
      </c>
      <c r="AN10" s="43" t="str">
        <f t="shared" si="3"/>
        <v> </v>
      </c>
    </row>
    <row r="11" spans="1:40" ht="11.25">
      <c r="A11" s="130" t="s">
        <v>703</v>
      </c>
      <c r="B11" s="71" t="str">
        <f t="shared" si="0"/>
        <v>LDCDUNS##</v>
      </c>
      <c r="C11" s="71" t="str">
        <f t="shared" si="0"/>
        <v>SUPDUNS##</v>
      </c>
      <c r="D11" s="179">
        <f t="shared" si="0"/>
        <v>36013</v>
      </c>
      <c r="E11" s="71" t="str">
        <f t="shared" si="0"/>
        <v>Invoice No</v>
      </c>
      <c r="F11" s="71" t="str">
        <f t="shared" si="0"/>
        <v>S0000000000014</v>
      </c>
      <c r="G11" s="71" t="str">
        <f t="shared" si="0"/>
        <v>D0000000000014</v>
      </c>
      <c r="H11" s="71">
        <f t="shared" si="0"/>
        <v>6</v>
      </c>
      <c r="I11" s="71" t="str">
        <f t="shared" si="0"/>
        <v>C</v>
      </c>
      <c r="J11" s="71" t="str">
        <f t="shared" si="0"/>
        <v>E</v>
      </c>
      <c r="K11" s="38" t="str">
        <f t="shared" si="0"/>
        <v>M000000025</v>
      </c>
      <c r="L11" s="38" t="str">
        <f t="shared" si="1"/>
        <v>N</v>
      </c>
      <c r="M11" s="179">
        <f t="shared" si="1"/>
        <v>36013</v>
      </c>
      <c r="N11" s="179">
        <f t="shared" si="1"/>
        <v>35983</v>
      </c>
      <c r="O11" s="71">
        <f t="shared" si="1"/>
        <v>650</v>
      </c>
      <c r="P11" s="71">
        <f t="shared" si="1"/>
        <v>0</v>
      </c>
      <c r="Q11" s="71" t="str">
        <f t="shared" si="1"/>
        <v> </v>
      </c>
      <c r="R11" s="71" t="str">
        <f t="shared" si="1"/>
        <v> </v>
      </c>
      <c r="S11" s="71" t="str">
        <f t="shared" si="1"/>
        <v> </v>
      </c>
      <c r="T11" s="71" t="str">
        <f t="shared" si="1"/>
        <v> </v>
      </c>
      <c r="U11" s="71" t="str">
        <f t="shared" si="1"/>
        <v> </v>
      </c>
      <c r="V11" s="71" t="str">
        <f t="shared" si="2"/>
        <v> </v>
      </c>
      <c r="W11" s="71" t="str">
        <f t="shared" si="2"/>
        <v> </v>
      </c>
      <c r="X11" s="71" t="str">
        <f t="shared" si="2"/>
        <v> </v>
      </c>
      <c r="Y11" s="71" t="str">
        <f t="shared" si="2"/>
        <v> </v>
      </c>
      <c r="Z11" s="15" t="str">
        <f t="shared" si="2"/>
        <v> </v>
      </c>
      <c r="AA11" s="43">
        <f t="shared" si="2"/>
        <v>6</v>
      </c>
      <c r="AB11" s="179">
        <f t="shared" si="2"/>
        <v>36013</v>
      </c>
      <c r="AC11" s="43" t="str">
        <f t="shared" si="2"/>
        <v>R01</v>
      </c>
      <c r="AD11" s="43" t="str">
        <f t="shared" si="2"/>
        <v>R000001</v>
      </c>
      <c r="AE11" s="43">
        <f t="shared" si="2"/>
        <v>0</v>
      </c>
      <c r="AF11" s="43">
        <f t="shared" si="2"/>
        <v>18.2</v>
      </c>
      <c r="AG11" s="43">
        <f t="shared" si="2"/>
        <v>0</v>
      </c>
      <c r="AH11" s="43">
        <f t="shared" si="2"/>
        <v>0</v>
      </c>
      <c r="AI11" s="43">
        <f t="shared" si="2"/>
        <v>0</v>
      </c>
      <c r="AJ11" s="43">
        <f t="shared" si="2"/>
        <v>0</v>
      </c>
      <c r="AK11" s="43">
        <f t="shared" si="3"/>
        <v>0</v>
      </c>
      <c r="AL11" s="43">
        <f t="shared" si="3"/>
        <v>0</v>
      </c>
      <c r="AM11" s="43">
        <f t="shared" si="3"/>
        <v>0</v>
      </c>
      <c r="AN11" s="43">
        <f t="shared" si="3"/>
        <v>18.2</v>
      </c>
    </row>
    <row r="12" spans="1:40" ht="11.25">
      <c r="A12" s="130" t="s">
        <v>704</v>
      </c>
      <c r="B12" s="71" t="str">
        <f t="shared" si="0"/>
        <v>LDCDUNS##</v>
      </c>
      <c r="C12" s="71" t="str">
        <f t="shared" si="0"/>
        <v>SUPDUNS##</v>
      </c>
      <c r="D12" s="179">
        <f t="shared" si="0"/>
        <v>36013</v>
      </c>
      <c r="E12" s="71" t="str">
        <f t="shared" si="0"/>
        <v>Invoice No</v>
      </c>
      <c r="F12" s="71" t="str">
        <f t="shared" si="0"/>
        <v>S0000000000015</v>
      </c>
      <c r="G12" s="71" t="str">
        <f t="shared" si="0"/>
        <v>D0000000000015</v>
      </c>
      <c r="H12" s="71">
        <f t="shared" si="0"/>
        <v>3</v>
      </c>
      <c r="I12" s="71" t="str">
        <f t="shared" si="0"/>
        <v>C</v>
      </c>
      <c r="J12" s="71" t="str">
        <f t="shared" si="0"/>
        <v>E</v>
      </c>
      <c r="K12" s="38" t="str">
        <f t="shared" si="0"/>
        <v>M000000027</v>
      </c>
      <c r="L12" s="38" t="str">
        <f t="shared" si="1"/>
        <v>N</v>
      </c>
      <c r="M12" s="179">
        <f t="shared" si="1"/>
        <v>36013</v>
      </c>
      <c r="N12" s="179">
        <f t="shared" si="1"/>
        <v>35983</v>
      </c>
      <c r="O12" s="71">
        <f t="shared" si="1"/>
        <v>47</v>
      </c>
      <c r="P12" s="71">
        <f t="shared" si="1"/>
        <v>0</v>
      </c>
      <c r="Q12" s="71" t="str">
        <f t="shared" si="1"/>
        <v> </v>
      </c>
      <c r="R12" s="71" t="str">
        <f t="shared" si="1"/>
        <v> </v>
      </c>
      <c r="S12" s="71" t="str">
        <f t="shared" si="1"/>
        <v> </v>
      </c>
      <c r="T12" s="71" t="str">
        <f t="shared" si="1"/>
        <v> </v>
      </c>
      <c r="U12" s="71" t="str">
        <f t="shared" si="1"/>
        <v> </v>
      </c>
      <c r="V12" s="71" t="str">
        <f t="shared" si="2"/>
        <v> </v>
      </c>
      <c r="W12" s="71" t="str">
        <f t="shared" si="2"/>
        <v> </v>
      </c>
      <c r="X12" s="71" t="str">
        <f t="shared" si="2"/>
        <v> </v>
      </c>
      <c r="Y12" s="71" t="str">
        <f t="shared" si="2"/>
        <v> </v>
      </c>
      <c r="Z12" s="15" t="str">
        <f t="shared" si="2"/>
        <v> </v>
      </c>
      <c r="AA12" s="43">
        <f t="shared" si="2"/>
        <v>6</v>
      </c>
      <c r="AB12" s="179">
        <f t="shared" si="2"/>
        <v>36013</v>
      </c>
      <c r="AC12" s="43" t="str">
        <f t="shared" si="2"/>
        <v>R01</v>
      </c>
      <c r="AD12" s="43" t="str">
        <f t="shared" si="2"/>
        <v>R000001</v>
      </c>
      <c r="AE12" s="43">
        <f t="shared" si="2"/>
        <v>0</v>
      </c>
      <c r="AF12" s="43">
        <f t="shared" si="2"/>
        <v>1.316</v>
      </c>
      <c r="AG12" s="43">
        <f t="shared" si="2"/>
        <v>0</v>
      </c>
      <c r="AH12" s="43">
        <f t="shared" si="2"/>
        <v>0</v>
      </c>
      <c r="AI12" s="43">
        <f t="shared" si="2"/>
        <v>0</v>
      </c>
      <c r="AJ12" s="43">
        <f t="shared" si="2"/>
        <v>0</v>
      </c>
      <c r="AK12" s="43">
        <f t="shared" si="3"/>
        <v>0</v>
      </c>
      <c r="AL12" s="43">
        <f t="shared" si="3"/>
        <v>0</v>
      </c>
      <c r="AM12" s="43">
        <f t="shared" si="3"/>
        <v>0</v>
      </c>
      <c r="AN12" s="43">
        <f t="shared" si="3"/>
        <v>1.316</v>
      </c>
    </row>
    <row r="13" spans="1:40" ht="11.25">
      <c r="A13" s="130" t="s">
        <v>705</v>
      </c>
      <c r="B13" s="71" t="str">
        <f t="shared" si="0"/>
        <v>LDCDUNS##</v>
      </c>
      <c r="C13" s="71" t="str">
        <f t="shared" si="0"/>
        <v>SUPDUNS##</v>
      </c>
      <c r="D13" s="179">
        <f t="shared" si="0"/>
        <v>36013</v>
      </c>
      <c r="E13" s="71" t="str">
        <f t="shared" si="0"/>
        <v>Invoice No</v>
      </c>
      <c r="F13" s="71" t="str">
        <f t="shared" si="0"/>
        <v>S0000000000016</v>
      </c>
      <c r="G13" s="71" t="str">
        <f t="shared" si="0"/>
        <v>D0000000000016</v>
      </c>
      <c r="H13" s="71">
        <f t="shared" si="0"/>
        <v>0</v>
      </c>
      <c r="I13" s="71" t="str">
        <f t="shared" si="0"/>
        <v>P</v>
      </c>
      <c r="J13" s="71" t="str">
        <f t="shared" si="0"/>
        <v>T</v>
      </c>
      <c r="K13" s="38" t="str">
        <f t="shared" si="0"/>
        <v>M000000029</v>
      </c>
      <c r="L13" s="38" t="str">
        <f t="shared" si="1"/>
        <v>N</v>
      </c>
      <c r="M13" s="179">
        <f t="shared" si="1"/>
        <v>36013</v>
      </c>
      <c r="N13" s="179">
        <f t="shared" si="1"/>
        <v>35983</v>
      </c>
      <c r="O13" s="71">
        <f t="shared" si="1"/>
        <v>0</v>
      </c>
      <c r="P13" s="71">
        <f t="shared" si="1"/>
        <v>500</v>
      </c>
      <c r="Q13" s="71">
        <f t="shared" si="1"/>
        <v>10.2</v>
      </c>
      <c r="R13" s="71" t="str">
        <f t="shared" si="1"/>
        <v> </v>
      </c>
      <c r="S13" s="71">
        <f t="shared" si="1"/>
        <v>200</v>
      </c>
      <c r="T13" s="71">
        <f t="shared" si="1"/>
        <v>2.5</v>
      </c>
      <c r="U13" s="71" t="str">
        <f t="shared" si="1"/>
        <v> </v>
      </c>
      <c r="V13" s="71" t="str">
        <f t="shared" si="2"/>
        <v> </v>
      </c>
      <c r="W13" s="71" t="str">
        <f t="shared" si="2"/>
        <v> </v>
      </c>
      <c r="X13" s="71" t="str">
        <f t="shared" si="2"/>
        <v> </v>
      </c>
      <c r="Y13" s="71" t="str">
        <f t="shared" si="2"/>
        <v> </v>
      </c>
      <c r="Z13" s="15" t="str">
        <f t="shared" si="2"/>
        <v> </v>
      </c>
      <c r="AA13" s="43" t="str">
        <f t="shared" si="2"/>
        <v> </v>
      </c>
      <c r="AB13" s="179" t="str">
        <f t="shared" si="2"/>
        <v> </v>
      </c>
      <c r="AC13" s="43" t="str">
        <f t="shared" si="2"/>
        <v> </v>
      </c>
      <c r="AD13" s="43" t="str">
        <f t="shared" si="2"/>
        <v> </v>
      </c>
      <c r="AE13" s="43" t="str">
        <f t="shared" si="2"/>
        <v> </v>
      </c>
      <c r="AF13" s="43" t="str">
        <f t="shared" si="2"/>
        <v> </v>
      </c>
      <c r="AG13" s="43" t="str">
        <f t="shared" si="2"/>
        <v> </v>
      </c>
      <c r="AH13" s="43" t="str">
        <f t="shared" si="2"/>
        <v> </v>
      </c>
      <c r="AI13" s="43" t="str">
        <f t="shared" si="2"/>
        <v> </v>
      </c>
      <c r="AJ13" s="43" t="str">
        <f t="shared" si="2"/>
        <v> </v>
      </c>
      <c r="AK13" s="43" t="str">
        <f t="shared" si="3"/>
        <v> </v>
      </c>
      <c r="AL13" s="43" t="str">
        <f t="shared" si="3"/>
        <v> </v>
      </c>
      <c r="AM13" s="43" t="str">
        <f t="shared" si="3"/>
        <v> </v>
      </c>
      <c r="AN13" s="43" t="str">
        <f t="shared" si="3"/>
        <v> </v>
      </c>
    </row>
    <row r="14" spans="1:40" ht="11.25">
      <c r="A14" s="130" t="s">
        <v>706</v>
      </c>
      <c r="B14" s="71" t="str">
        <f aca="true" t="shared" si="4" ref="B14:K19">VLOOKUP($A14,Format_2_Table,B$3,FALSE)</f>
        <v>LDCDUNS##</v>
      </c>
      <c r="C14" s="71" t="str">
        <f t="shared" si="4"/>
        <v>SUPDUNS##</v>
      </c>
      <c r="D14" s="179">
        <f t="shared" si="4"/>
        <v>36013</v>
      </c>
      <c r="E14" s="71" t="str">
        <f t="shared" si="4"/>
        <v>Invoice No</v>
      </c>
      <c r="F14" s="71" t="str">
        <f t="shared" si="4"/>
        <v>S0000000000017</v>
      </c>
      <c r="G14" s="71" t="str">
        <f t="shared" si="4"/>
        <v>D0000000000017</v>
      </c>
      <c r="H14" s="71">
        <f t="shared" si="4"/>
        <v>0</v>
      </c>
      <c r="I14" s="71" t="str">
        <f t="shared" si="4"/>
        <v>P</v>
      </c>
      <c r="J14" s="71" t="str">
        <f t="shared" si="4"/>
        <v>T</v>
      </c>
      <c r="K14" s="38" t="str">
        <f t="shared" si="4"/>
        <v>M000000031</v>
      </c>
      <c r="L14" s="38" t="str">
        <f aca="true" t="shared" si="5" ref="L14:U19">VLOOKUP($A14,Format_2_Table,L$3,FALSE)</f>
        <v>Y</v>
      </c>
      <c r="M14" s="179">
        <f t="shared" si="5"/>
        <v>36013</v>
      </c>
      <c r="N14" s="179">
        <f t="shared" si="5"/>
        <v>35983</v>
      </c>
      <c r="O14" s="71">
        <f t="shared" si="5"/>
        <v>0</v>
      </c>
      <c r="P14" s="71">
        <f t="shared" si="5"/>
        <v>115000</v>
      </c>
      <c r="Q14" s="71">
        <f t="shared" si="5"/>
        <v>112.1</v>
      </c>
      <c r="R14" s="71">
        <f t="shared" si="5"/>
        <v>50.1</v>
      </c>
      <c r="S14" s="71">
        <f t="shared" si="5"/>
        <v>7000</v>
      </c>
      <c r="T14" s="71">
        <f t="shared" si="5"/>
        <v>86.1</v>
      </c>
      <c r="U14" s="71">
        <f t="shared" si="5"/>
        <v>30.2</v>
      </c>
      <c r="V14" s="71" t="str">
        <f aca="true" t="shared" si="6" ref="V14:AK19">VLOOKUP($A14,Format_2_Table,V$3,FALSE)</f>
        <v> </v>
      </c>
      <c r="W14" s="71" t="str">
        <f t="shared" si="6"/>
        <v> </v>
      </c>
      <c r="X14" s="71" t="str">
        <f t="shared" si="6"/>
        <v> </v>
      </c>
      <c r="Y14" s="71" t="str">
        <f t="shared" si="6"/>
        <v> </v>
      </c>
      <c r="Z14" s="15" t="str">
        <f t="shared" si="6"/>
        <v> </v>
      </c>
      <c r="AA14" s="43" t="str">
        <f t="shared" si="6"/>
        <v> </v>
      </c>
      <c r="AB14" s="179" t="str">
        <f t="shared" si="6"/>
        <v> </v>
      </c>
      <c r="AC14" s="43" t="str">
        <f t="shared" si="6"/>
        <v> </v>
      </c>
      <c r="AD14" s="43" t="str">
        <f t="shared" si="6"/>
        <v> </v>
      </c>
      <c r="AE14" s="43" t="str">
        <f t="shared" si="6"/>
        <v> </v>
      </c>
      <c r="AF14" s="43" t="str">
        <f t="shared" si="6"/>
        <v> </v>
      </c>
      <c r="AG14" s="43" t="str">
        <f t="shared" si="6"/>
        <v> </v>
      </c>
      <c r="AH14" s="43" t="str">
        <f t="shared" si="6"/>
        <v> </v>
      </c>
      <c r="AI14" s="43" t="str">
        <f t="shared" si="6"/>
        <v> </v>
      </c>
      <c r="AJ14" s="43" t="str">
        <f t="shared" si="6"/>
        <v> </v>
      </c>
      <c r="AK14" s="43" t="str">
        <f t="shared" si="6"/>
        <v> </v>
      </c>
      <c r="AL14" s="43" t="str">
        <f t="shared" si="3"/>
        <v> </v>
      </c>
      <c r="AM14" s="43" t="str">
        <f t="shared" si="3"/>
        <v> </v>
      </c>
      <c r="AN14" s="43" t="str">
        <f t="shared" si="3"/>
        <v> </v>
      </c>
    </row>
    <row r="15" spans="1:40" ht="11.25">
      <c r="A15" s="130" t="s">
        <v>707</v>
      </c>
      <c r="B15" s="71" t="str">
        <f t="shared" si="4"/>
        <v>LDCDUNS##</v>
      </c>
      <c r="C15" s="71" t="str">
        <f t="shared" si="4"/>
        <v>SUPDUNS##</v>
      </c>
      <c r="D15" s="179">
        <f t="shared" si="4"/>
        <v>36013</v>
      </c>
      <c r="E15" s="71" t="str">
        <f t="shared" si="4"/>
        <v>Invoice No</v>
      </c>
      <c r="F15" s="71" t="str">
        <f t="shared" si="4"/>
        <v>S0000000000017</v>
      </c>
      <c r="G15" s="71" t="str">
        <f t="shared" si="4"/>
        <v>D0000000000017</v>
      </c>
      <c r="H15" s="71">
        <f t="shared" si="4"/>
        <v>0</v>
      </c>
      <c r="I15" s="71" t="str">
        <f t="shared" si="4"/>
        <v>P</v>
      </c>
      <c r="J15" s="71" t="str">
        <f t="shared" si="4"/>
        <v>T</v>
      </c>
      <c r="K15" s="38" t="str">
        <f t="shared" si="4"/>
        <v>M000000032</v>
      </c>
      <c r="L15" s="38" t="str">
        <f t="shared" si="5"/>
        <v>Y</v>
      </c>
      <c r="M15" s="179">
        <f t="shared" si="5"/>
        <v>36013</v>
      </c>
      <c r="N15" s="179">
        <f t="shared" si="5"/>
        <v>35983</v>
      </c>
      <c r="O15" s="71">
        <f t="shared" si="5"/>
        <v>0</v>
      </c>
      <c r="P15" s="71">
        <f t="shared" si="5"/>
        <v>28750</v>
      </c>
      <c r="Q15" s="71">
        <f t="shared" si="5"/>
        <v>25.1</v>
      </c>
      <c r="R15" s="71">
        <f t="shared" si="5"/>
        <v>50.1</v>
      </c>
      <c r="S15" s="71">
        <f t="shared" si="5"/>
        <v>6250</v>
      </c>
      <c r="T15" s="71">
        <f t="shared" si="5"/>
        <v>15.5</v>
      </c>
      <c r="U15" s="71">
        <f t="shared" si="5"/>
        <v>30.2</v>
      </c>
      <c r="V15" s="71" t="str">
        <f t="shared" si="6"/>
        <v> </v>
      </c>
      <c r="W15" s="71" t="str">
        <f t="shared" si="6"/>
        <v> </v>
      </c>
      <c r="X15" s="71" t="str">
        <f t="shared" si="6"/>
        <v> </v>
      </c>
      <c r="Y15" s="71" t="str">
        <f t="shared" si="6"/>
        <v> </v>
      </c>
      <c r="Z15" s="15" t="str">
        <f t="shared" si="6"/>
        <v> </v>
      </c>
      <c r="AA15" s="43" t="str">
        <f t="shared" si="6"/>
        <v> </v>
      </c>
      <c r="AB15" s="179" t="str">
        <f t="shared" si="6"/>
        <v> </v>
      </c>
      <c r="AC15" s="43" t="str">
        <f t="shared" si="6"/>
        <v> </v>
      </c>
      <c r="AD15" s="43" t="str">
        <f t="shared" si="6"/>
        <v> </v>
      </c>
      <c r="AE15" s="43" t="str">
        <f t="shared" si="6"/>
        <v> </v>
      </c>
      <c r="AF15" s="43" t="str">
        <f t="shared" si="6"/>
        <v> </v>
      </c>
      <c r="AG15" s="43" t="str">
        <f t="shared" si="6"/>
        <v> </v>
      </c>
      <c r="AH15" s="43" t="str">
        <f t="shared" si="6"/>
        <v> </v>
      </c>
      <c r="AI15" s="43" t="str">
        <f t="shared" si="6"/>
        <v> </v>
      </c>
      <c r="AJ15" s="43" t="str">
        <f t="shared" si="6"/>
        <v> </v>
      </c>
      <c r="AK15" s="43" t="str">
        <f t="shared" si="3"/>
        <v> </v>
      </c>
      <c r="AL15" s="43" t="str">
        <f t="shared" si="3"/>
        <v> </v>
      </c>
      <c r="AM15" s="43" t="str">
        <f t="shared" si="3"/>
        <v> </v>
      </c>
      <c r="AN15" s="43" t="str">
        <f t="shared" si="3"/>
        <v> </v>
      </c>
    </row>
    <row r="16" spans="1:40" ht="11.25">
      <c r="A16" s="130" t="s">
        <v>708</v>
      </c>
      <c r="B16" s="71" t="str">
        <f t="shared" si="4"/>
        <v>LDCDUNS##</v>
      </c>
      <c r="C16" s="71" t="str">
        <f t="shared" si="4"/>
        <v>SUPDUNS##</v>
      </c>
      <c r="D16" s="179">
        <f t="shared" si="4"/>
        <v>36013</v>
      </c>
      <c r="E16" s="71" t="str">
        <f t="shared" si="4"/>
        <v>Invoice No</v>
      </c>
      <c r="F16" s="71" t="str">
        <f t="shared" si="4"/>
        <v>S0000000000018</v>
      </c>
      <c r="G16" s="71" t="str">
        <f t="shared" si="4"/>
        <v>D0000000000018</v>
      </c>
      <c r="H16" s="71">
        <f t="shared" si="4"/>
        <v>0</v>
      </c>
      <c r="I16" s="71" t="str">
        <f t="shared" si="4"/>
        <v>C</v>
      </c>
      <c r="J16" s="71" t="str">
        <f t="shared" si="4"/>
        <v>D</v>
      </c>
      <c r="K16" s="38" t="str">
        <f t="shared" si="4"/>
        <v>M000000033</v>
      </c>
      <c r="L16" s="38" t="str">
        <f t="shared" si="5"/>
        <v>N</v>
      </c>
      <c r="M16" s="179">
        <f t="shared" si="5"/>
        <v>36013</v>
      </c>
      <c r="N16" s="179">
        <f t="shared" si="5"/>
        <v>35983</v>
      </c>
      <c r="O16" s="71">
        <f t="shared" si="5"/>
        <v>500</v>
      </c>
      <c r="P16" s="71">
        <f t="shared" si="5"/>
        <v>0</v>
      </c>
      <c r="Q16" s="71">
        <f t="shared" si="5"/>
        <v>5</v>
      </c>
      <c r="R16" s="71" t="str">
        <f t="shared" si="5"/>
        <v> </v>
      </c>
      <c r="S16" s="71" t="str">
        <f t="shared" si="5"/>
        <v> </v>
      </c>
      <c r="T16" s="71" t="str">
        <f t="shared" si="5"/>
        <v> </v>
      </c>
      <c r="U16" s="71" t="str">
        <f t="shared" si="5"/>
        <v> </v>
      </c>
      <c r="V16" s="71" t="str">
        <f t="shared" si="6"/>
        <v> </v>
      </c>
      <c r="W16" s="71" t="str">
        <f t="shared" si="6"/>
        <v> </v>
      </c>
      <c r="X16" s="71" t="str">
        <f t="shared" si="6"/>
        <v> </v>
      </c>
      <c r="Y16" s="71" t="str">
        <f t="shared" si="6"/>
        <v> </v>
      </c>
      <c r="Z16" s="15" t="str">
        <f t="shared" si="6"/>
        <v> </v>
      </c>
      <c r="AA16" s="43">
        <f t="shared" si="6"/>
        <v>6</v>
      </c>
      <c r="AB16" s="179">
        <f t="shared" si="6"/>
        <v>36013</v>
      </c>
      <c r="AC16" s="43" t="str">
        <f t="shared" si="6"/>
        <v>G00</v>
      </c>
      <c r="AD16" s="43" t="str">
        <f t="shared" si="6"/>
        <v>G000001</v>
      </c>
      <c r="AE16" s="43">
        <f t="shared" si="6"/>
        <v>0.75</v>
      </c>
      <c r="AF16" s="43">
        <f t="shared" si="6"/>
        <v>15</v>
      </c>
      <c r="AG16" s="43">
        <f t="shared" si="6"/>
        <v>0</v>
      </c>
      <c r="AH16" s="43">
        <f t="shared" si="6"/>
        <v>0</v>
      </c>
      <c r="AI16" s="43">
        <f t="shared" si="6"/>
        <v>0</v>
      </c>
      <c r="AJ16" s="43">
        <f t="shared" si="6"/>
        <v>5</v>
      </c>
      <c r="AK16" s="43">
        <f t="shared" si="3"/>
        <v>0</v>
      </c>
      <c r="AL16" s="43">
        <f t="shared" si="3"/>
        <v>50</v>
      </c>
      <c r="AM16" s="43">
        <f t="shared" si="3"/>
        <v>0.75</v>
      </c>
      <c r="AN16" s="43">
        <f t="shared" si="3"/>
        <v>71.5</v>
      </c>
    </row>
    <row r="17" spans="1:40" ht="11.25">
      <c r="A17" s="130" t="s">
        <v>709</v>
      </c>
      <c r="B17" s="71" t="str">
        <f t="shared" si="4"/>
        <v>LDCDUNS##</v>
      </c>
      <c r="C17" s="71" t="str">
        <f t="shared" si="4"/>
        <v>SUPDUNS##</v>
      </c>
      <c r="D17" s="179">
        <f t="shared" si="4"/>
        <v>36013</v>
      </c>
      <c r="E17" s="71" t="str">
        <f t="shared" si="4"/>
        <v>Invoice No</v>
      </c>
      <c r="F17" s="71" t="str">
        <f t="shared" si="4"/>
        <v>S0000000000019</v>
      </c>
      <c r="G17" s="71" t="str">
        <f t="shared" si="4"/>
        <v>D0000000000019</v>
      </c>
      <c r="H17" s="71">
        <f t="shared" si="4"/>
        <v>0</v>
      </c>
      <c r="I17" s="71" t="str">
        <f t="shared" si="4"/>
        <v>C</v>
      </c>
      <c r="J17" s="71" t="str">
        <f t="shared" si="4"/>
        <v>C</v>
      </c>
      <c r="K17" s="38" t="str">
        <f t="shared" si="4"/>
        <v>U000000003</v>
      </c>
      <c r="L17" s="38" t="str">
        <f t="shared" si="5"/>
        <v>N</v>
      </c>
      <c r="M17" s="179">
        <f t="shared" si="5"/>
        <v>36013</v>
      </c>
      <c r="N17" s="179">
        <f t="shared" si="5"/>
        <v>35983</v>
      </c>
      <c r="O17" s="71">
        <f t="shared" si="5"/>
        <v>1500</v>
      </c>
      <c r="P17" s="71">
        <f t="shared" si="5"/>
        <v>0</v>
      </c>
      <c r="Q17" s="71" t="str">
        <f t="shared" si="5"/>
        <v> </v>
      </c>
      <c r="R17" s="71" t="str">
        <f t="shared" si="5"/>
        <v> </v>
      </c>
      <c r="S17" s="71" t="str">
        <f t="shared" si="5"/>
        <v> </v>
      </c>
      <c r="T17" s="71" t="str">
        <f t="shared" si="5"/>
        <v> </v>
      </c>
      <c r="U17" s="71" t="str">
        <f t="shared" si="5"/>
        <v> </v>
      </c>
      <c r="V17" s="71" t="str">
        <f t="shared" si="6"/>
        <v> </v>
      </c>
      <c r="W17" s="71" t="str">
        <f t="shared" si="6"/>
        <v> </v>
      </c>
      <c r="X17" s="71" t="str">
        <f t="shared" si="6"/>
        <v> </v>
      </c>
      <c r="Y17" s="71" t="str">
        <f t="shared" si="6"/>
        <v> </v>
      </c>
      <c r="Z17" s="15">
        <f t="shared" si="6"/>
        <v>99</v>
      </c>
      <c r="AA17" s="43">
        <f t="shared" si="6"/>
        <v>6</v>
      </c>
      <c r="AB17" s="179">
        <f t="shared" si="6"/>
        <v>36013</v>
      </c>
      <c r="AC17" s="43" t="str">
        <f t="shared" si="6"/>
        <v>U99</v>
      </c>
      <c r="AD17" s="43" t="str">
        <f t="shared" si="6"/>
        <v>U000001</v>
      </c>
      <c r="AE17" s="43">
        <f t="shared" si="6"/>
        <v>1.125</v>
      </c>
      <c r="AF17" s="43">
        <f t="shared" si="6"/>
        <v>22.5</v>
      </c>
      <c r="AG17" s="43">
        <f t="shared" si="6"/>
        <v>0</v>
      </c>
      <c r="AH17" s="43">
        <f t="shared" si="6"/>
        <v>0</v>
      </c>
      <c r="AI17" s="43">
        <f t="shared" si="6"/>
        <v>0</v>
      </c>
      <c r="AJ17" s="43">
        <f t="shared" si="6"/>
        <v>0</v>
      </c>
      <c r="AK17" s="43">
        <f t="shared" si="3"/>
        <v>0</v>
      </c>
      <c r="AL17" s="43">
        <f t="shared" si="3"/>
        <v>0</v>
      </c>
      <c r="AM17" s="43">
        <f t="shared" si="3"/>
        <v>0</v>
      </c>
      <c r="AN17" s="43">
        <f t="shared" si="3"/>
        <v>23.625</v>
      </c>
    </row>
    <row r="18" spans="1:40" ht="11.25">
      <c r="A18" s="130" t="s">
        <v>710</v>
      </c>
      <c r="B18" s="71" t="str">
        <f t="shared" si="4"/>
        <v>LDCDUNS##</v>
      </c>
      <c r="C18" s="71" t="str">
        <f t="shared" si="4"/>
        <v>SUPDUNS##</v>
      </c>
      <c r="D18" s="179">
        <f t="shared" si="4"/>
        <v>36013</v>
      </c>
      <c r="E18" s="71" t="str">
        <f t="shared" si="4"/>
        <v>Invoice No</v>
      </c>
      <c r="F18" s="71" t="str">
        <f t="shared" si="4"/>
        <v>S0000000000020</v>
      </c>
      <c r="G18" s="71" t="str">
        <f t="shared" si="4"/>
        <v>D0000000000020</v>
      </c>
      <c r="H18" s="71">
        <f t="shared" si="4"/>
        <v>1</v>
      </c>
      <c r="I18" s="71" t="str">
        <f t="shared" si="4"/>
        <v>C</v>
      </c>
      <c r="J18" s="71" t="str">
        <f t="shared" si="4"/>
        <v>E</v>
      </c>
      <c r="K18" s="38" t="str">
        <f t="shared" si="4"/>
        <v>M000000036</v>
      </c>
      <c r="L18" s="38" t="str">
        <f t="shared" si="5"/>
        <v>N</v>
      </c>
      <c r="M18" s="179">
        <f t="shared" si="5"/>
        <v>35998</v>
      </c>
      <c r="N18" s="179">
        <f t="shared" si="5"/>
        <v>35968</v>
      </c>
      <c r="O18" s="71">
        <f t="shared" si="5"/>
        <v>500</v>
      </c>
      <c r="P18" s="71">
        <f t="shared" si="5"/>
        <v>0</v>
      </c>
      <c r="Q18" s="71" t="str">
        <f t="shared" si="5"/>
        <v> </v>
      </c>
      <c r="R18" s="71" t="str">
        <f t="shared" si="5"/>
        <v> </v>
      </c>
      <c r="S18" s="71" t="str">
        <f t="shared" si="5"/>
        <v> </v>
      </c>
      <c r="T18" s="71" t="str">
        <f t="shared" si="5"/>
        <v> </v>
      </c>
      <c r="U18" s="71" t="str">
        <f t="shared" si="5"/>
        <v> </v>
      </c>
      <c r="V18" s="71" t="str">
        <f t="shared" si="6"/>
        <v> </v>
      </c>
      <c r="W18" s="71" t="str">
        <f t="shared" si="6"/>
        <v> </v>
      </c>
      <c r="X18" s="71" t="str">
        <f t="shared" si="6"/>
        <v> </v>
      </c>
      <c r="Y18" s="71" t="str">
        <f t="shared" si="6"/>
        <v> </v>
      </c>
      <c r="Z18" s="15" t="str">
        <f t="shared" si="6"/>
        <v> </v>
      </c>
      <c r="AA18" s="43">
        <f t="shared" si="6"/>
        <v>15</v>
      </c>
      <c r="AB18" s="179">
        <f t="shared" si="6"/>
        <v>35998</v>
      </c>
      <c r="AC18" s="43" t="str">
        <f t="shared" si="6"/>
        <v>R01</v>
      </c>
      <c r="AD18" s="43" t="str">
        <f t="shared" si="6"/>
        <v>R000001</v>
      </c>
      <c r="AE18" s="43">
        <f t="shared" si="6"/>
        <v>0</v>
      </c>
      <c r="AF18" s="43">
        <f t="shared" si="6"/>
        <v>14</v>
      </c>
      <c r="AG18" s="43">
        <f t="shared" si="6"/>
        <v>0</v>
      </c>
      <c r="AH18" s="43">
        <f t="shared" si="6"/>
        <v>0</v>
      </c>
      <c r="AI18" s="43">
        <f t="shared" si="6"/>
        <v>0</v>
      </c>
      <c r="AJ18" s="43">
        <f t="shared" si="6"/>
        <v>0</v>
      </c>
      <c r="AK18" s="43">
        <f t="shared" si="3"/>
        <v>0</v>
      </c>
      <c r="AL18" s="43">
        <f t="shared" si="3"/>
        <v>0</v>
      </c>
      <c r="AM18" s="43">
        <f t="shared" si="3"/>
        <v>0</v>
      </c>
      <c r="AN18" s="43">
        <f t="shared" si="3"/>
        <v>14</v>
      </c>
    </row>
    <row r="19" spans="1:40" ht="11.25">
      <c r="A19" s="130" t="s">
        <v>711</v>
      </c>
      <c r="B19" s="71" t="str">
        <f t="shared" si="4"/>
        <v>LDCDUNS##</v>
      </c>
      <c r="C19" s="71" t="str">
        <f t="shared" si="4"/>
        <v>SUPDUNS##</v>
      </c>
      <c r="D19" s="179">
        <f t="shared" si="4"/>
        <v>36013</v>
      </c>
      <c r="E19" s="71" t="str">
        <f t="shared" si="4"/>
        <v>Invoice No</v>
      </c>
      <c r="F19" s="71" t="str">
        <f t="shared" si="4"/>
        <v>S0000000000020</v>
      </c>
      <c r="G19" s="71" t="str">
        <f t="shared" si="4"/>
        <v>D0000000000020</v>
      </c>
      <c r="H19" s="71">
        <f t="shared" si="4"/>
        <v>4</v>
      </c>
      <c r="I19" s="71" t="str">
        <f t="shared" si="4"/>
        <v>C</v>
      </c>
      <c r="J19" s="71" t="str">
        <f t="shared" si="4"/>
        <v>E</v>
      </c>
      <c r="K19" s="38" t="str">
        <f t="shared" si="4"/>
        <v>M000000036</v>
      </c>
      <c r="L19" s="38" t="str">
        <f t="shared" si="5"/>
        <v>N</v>
      </c>
      <c r="M19" s="179">
        <f t="shared" si="5"/>
        <v>35998</v>
      </c>
      <c r="N19" s="179">
        <f t="shared" si="5"/>
        <v>35968</v>
      </c>
      <c r="O19" s="71">
        <f t="shared" si="5"/>
        <v>300</v>
      </c>
      <c r="P19" s="71">
        <f t="shared" si="5"/>
        <v>0</v>
      </c>
      <c r="Q19" s="71" t="str">
        <f t="shared" si="5"/>
        <v> </v>
      </c>
      <c r="R19" s="71" t="str">
        <f t="shared" si="5"/>
        <v> </v>
      </c>
      <c r="S19" s="71" t="str">
        <f t="shared" si="5"/>
        <v> </v>
      </c>
      <c r="T19" s="71" t="str">
        <f t="shared" si="5"/>
        <v> </v>
      </c>
      <c r="U19" s="71" t="str">
        <f t="shared" si="5"/>
        <v> </v>
      </c>
      <c r="V19" s="71" t="str">
        <f t="shared" si="6"/>
        <v> </v>
      </c>
      <c r="W19" s="71" t="str">
        <f t="shared" si="6"/>
        <v> </v>
      </c>
      <c r="X19" s="71" t="str">
        <f t="shared" si="6"/>
        <v> </v>
      </c>
      <c r="Y19" s="71" t="str">
        <f t="shared" si="6"/>
        <v> </v>
      </c>
      <c r="Z19" s="15" t="str">
        <f t="shared" si="6"/>
        <v> </v>
      </c>
      <c r="AA19" s="43">
        <f t="shared" si="6"/>
        <v>15</v>
      </c>
      <c r="AB19" s="179">
        <f t="shared" si="6"/>
        <v>35998</v>
      </c>
      <c r="AC19" s="43" t="str">
        <f t="shared" si="6"/>
        <v>R01</v>
      </c>
      <c r="AD19" s="43" t="str">
        <f t="shared" si="6"/>
        <v>R000001</v>
      </c>
      <c r="AE19" s="43">
        <f t="shared" si="6"/>
        <v>0</v>
      </c>
      <c r="AF19" s="43">
        <f t="shared" si="6"/>
        <v>8.4</v>
      </c>
      <c r="AG19" s="43">
        <f t="shared" si="6"/>
        <v>0</v>
      </c>
      <c r="AH19" s="43">
        <f t="shared" si="6"/>
        <v>0</v>
      </c>
      <c r="AI19" s="43">
        <f t="shared" si="6"/>
        <v>0</v>
      </c>
      <c r="AJ19" s="43">
        <f t="shared" si="6"/>
        <v>0</v>
      </c>
      <c r="AK19" s="43">
        <f t="shared" si="3"/>
        <v>0</v>
      </c>
      <c r="AL19" s="43">
        <f t="shared" si="3"/>
        <v>0</v>
      </c>
      <c r="AM19" s="43">
        <f t="shared" si="3"/>
        <v>0</v>
      </c>
      <c r="AN19" s="43">
        <f t="shared" si="3"/>
        <v>8.4</v>
      </c>
    </row>
    <row r="23" ht="15.75">
      <c r="B23" s="219" t="s">
        <v>693</v>
      </c>
    </row>
    <row r="24" spans="1:13" ht="11.25" hidden="1">
      <c r="A24" s="130" t="s">
        <v>618</v>
      </c>
      <c r="B24" s="210">
        <v>1</v>
      </c>
      <c r="C24" s="210">
        <v>2</v>
      </c>
      <c r="D24" s="210">
        <v>3</v>
      </c>
      <c r="E24" s="210">
        <v>4</v>
      </c>
      <c r="F24" s="210">
        <v>5</v>
      </c>
      <c r="G24" s="210">
        <v>6</v>
      </c>
      <c r="H24" s="210">
        <v>7</v>
      </c>
      <c r="I24" s="210">
        <v>8</v>
      </c>
      <c r="J24" s="210">
        <v>9</v>
      </c>
      <c r="K24" s="210">
        <v>10</v>
      </c>
      <c r="M24" s="136"/>
    </row>
    <row r="25" spans="1:11" s="205" customFormat="1" ht="10.5" hidden="1">
      <c r="A25" s="209" t="s">
        <v>619</v>
      </c>
      <c r="B25" s="205">
        <v>7</v>
      </c>
      <c r="C25" s="205">
        <v>8</v>
      </c>
      <c r="D25" s="205">
        <v>9</v>
      </c>
      <c r="E25" s="205">
        <v>10</v>
      </c>
      <c r="F25" s="205">
        <v>11</v>
      </c>
      <c r="G25" s="205">
        <v>12</v>
      </c>
      <c r="H25" s="205">
        <v>13</v>
      </c>
      <c r="I25" s="205">
        <v>14</v>
      </c>
      <c r="J25" s="205">
        <v>16</v>
      </c>
      <c r="K25" s="205">
        <v>15</v>
      </c>
    </row>
    <row r="26" spans="1:11" ht="11.25">
      <c r="A26" s="130" t="s">
        <v>712</v>
      </c>
      <c r="B26" s="71" t="str">
        <f aca="true" t="shared" si="7" ref="B26:K26">VLOOKUP($A26,format_3_table,B$25,FALSE)</f>
        <v>LDCDUNS##</v>
      </c>
      <c r="C26" s="71" t="str">
        <f t="shared" si="7"/>
        <v>SUPDUNS##</v>
      </c>
      <c r="D26" s="179">
        <f t="shared" si="7"/>
        <v>36013</v>
      </c>
      <c r="E26" s="71" t="str">
        <f t="shared" si="7"/>
        <v>Tracking Number</v>
      </c>
      <c r="F26" s="71">
        <f t="shared" si="7"/>
        <v>36016</v>
      </c>
      <c r="G26" s="71" t="str">
        <f t="shared" si="7"/>
        <v>S0000000000004</v>
      </c>
      <c r="H26" s="71" t="str">
        <f t="shared" si="7"/>
        <v>D000000000003A</v>
      </c>
      <c r="I26" s="71" t="str">
        <f t="shared" si="7"/>
        <v>001</v>
      </c>
      <c r="J26" s="43">
        <f t="shared" si="7"/>
        <v>-44.07</v>
      </c>
      <c r="K26" s="179">
        <f t="shared" si="7"/>
        <v>36013</v>
      </c>
    </row>
  </sheetData>
  <printOptions/>
  <pageMargins left="0.75" right="0.75" top="1" bottom="1" header="0.5" footer="0.5"/>
  <pageSetup fitToHeight="3" horizontalDpi="600" verticalDpi="600" orientation="landscape" scale="85" r:id="rId2"/>
  <headerFooter alignWithMargins="0">
    <oddHeader>&amp;CEBT Test Conditions
&amp;A</oddHeader>
    <oddFooter>&amp;LVersion 5.0&amp;CPage &amp;P&amp;RIssued:  June 25, 1999
</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8"/>
  <sheetViews>
    <sheetView workbookViewId="0" topLeftCell="B1">
      <selection activeCell="D7" sqref="D7"/>
      <selection activeCell="I11" sqref="I11"/>
    </sheetView>
  </sheetViews>
  <sheetFormatPr defaultColWidth="9.140625" defaultRowHeight="12.75"/>
  <cols>
    <col min="1" max="1" width="10.140625" style="132" hidden="1" customWidth="1"/>
    <col min="2" max="3" width="9.8515625" style="132" customWidth="1"/>
    <col min="4" max="4" width="7.8515625" style="132" customWidth="1"/>
    <col min="5" max="5" width="12.57421875" style="132" customWidth="1"/>
    <col min="6" max="6" width="7.8515625" style="132" customWidth="1"/>
    <col min="7" max="8" width="13.140625" style="132" customWidth="1"/>
    <col min="9" max="9" width="3.57421875" style="132" customWidth="1"/>
    <col min="10" max="10" width="5.28125" style="132" customWidth="1"/>
    <col min="11" max="11" width="7.8515625" style="132" customWidth="1"/>
    <col min="12" max="16384" width="8.8515625" style="132" customWidth="1"/>
  </cols>
  <sheetData>
    <row r="1" ht="15.75">
      <c r="B1" s="219" t="s">
        <v>693</v>
      </c>
    </row>
    <row r="2" spans="1:13" s="130" customFormat="1" ht="11.25" hidden="1">
      <c r="A2" s="130" t="s">
        <v>618</v>
      </c>
      <c r="B2" s="210">
        <v>1</v>
      </c>
      <c r="C2" s="210">
        <v>2</v>
      </c>
      <c r="D2" s="210">
        <v>3</v>
      </c>
      <c r="E2" s="210">
        <v>4</v>
      </c>
      <c r="F2" s="210">
        <v>5</v>
      </c>
      <c r="G2" s="210">
        <v>6</v>
      </c>
      <c r="H2" s="210">
        <v>7</v>
      </c>
      <c r="I2" s="210">
        <v>8</v>
      </c>
      <c r="J2" s="210">
        <v>9</v>
      </c>
      <c r="K2" s="210">
        <v>10</v>
      </c>
      <c r="M2" s="136"/>
    </row>
    <row r="3" spans="1:11" s="205" customFormat="1" ht="10.5" hidden="1">
      <c r="A3" s="209" t="s">
        <v>619</v>
      </c>
      <c r="B3" s="205">
        <v>7</v>
      </c>
      <c r="C3" s="205">
        <v>8</v>
      </c>
      <c r="D3" s="205">
        <v>9</v>
      </c>
      <c r="E3" s="205">
        <v>10</v>
      </c>
      <c r="F3" s="205">
        <v>11</v>
      </c>
      <c r="G3" s="205">
        <v>12</v>
      </c>
      <c r="H3" s="205">
        <v>13</v>
      </c>
      <c r="I3" s="205">
        <v>14</v>
      </c>
      <c r="J3" s="205">
        <v>16</v>
      </c>
      <c r="K3" s="205">
        <v>15</v>
      </c>
    </row>
    <row r="4" spans="1:11" s="130" customFormat="1" ht="11.25">
      <c r="A4" s="130" t="s">
        <v>713</v>
      </c>
      <c r="B4" s="71" t="str">
        <f>VLOOKUP($A4,format_3_table,B$3,FALSE)</f>
        <v>LDCDUNS##</v>
      </c>
      <c r="C4" s="71" t="str">
        <f aca="true" t="shared" si="0" ref="C4:K7">VLOOKUP($A4,format_3_table,C$3,FALSE)</f>
        <v>SUPDUNS##</v>
      </c>
      <c r="D4" s="179">
        <f t="shared" si="0"/>
        <v>36028</v>
      </c>
      <c r="E4" s="71" t="str">
        <f t="shared" si="0"/>
        <v>Tracking Number</v>
      </c>
      <c r="F4" s="179">
        <f t="shared" si="0"/>
        <v>36031</v>
      </c>
      <c r="G4" s="71" t="str">
        <f t="shared" si="0"/>
        <v>S0000000000011</v>
      </c>
      <c r="H4" s="71" t="str">
        <f t="shared" si="0"/>
        <v>D0000000000011</v>
      </c>
      <c r="I4" s="71" t="str">
        <f t="shared" si="0"/>
        <v>001</v>
      </c>
      <c r="J4" s="71">
        <f t="shared" si="0"/>
        <v>-16.8</v>
      </c>
      <c r="K4" s="179">
        <f t="shared" si="0"/>
        <v>36028</v>
      </c>
    </row>
    <row r="5" spans="1:11" s="130" customFormat="1" ht="11.25">
      <c r="A5" s="130" t="s">
        <v>714</v>
      </c>
      <c r="B5" s="71" t="str">
        <f>VLOOKUP($A5,format_3_table,B$3,FALSE)</f>
        <v>LDCDUNS##</v>
      </c>
      <c r="C5" s="71" t="str">
        <f t="shared" si="0"/>
        <v>SUPDUNS##</v>
      </c>
      <c r="D5" s="179">
        <f t="shared" si="0"/>
        <v>36028</v>
      </c>
      <c r="E5" s="71" t="str">
        <f t="shared" si="0"/>
        <v>Tracking Number</v>
      </c>
      <c r="F5" s="179">
        <f t="shared" si="0"/>
        <v>36031</v>
      </c>
      <c r="G5" s="71" t="str">
        <f t="shared" si="0"/>
        <v>S0000000000012</v>
      </c>
      <c r="H5" s="71" t="str">
        <f t="shared" si="0"/>
        <v>D0000000000012</v>
      </c>
      <c r="I5" s="71" t="str">
        <f t="shared" si="0"/>
        <v>001</v>
      </c>
      <c r="J5" s="71">
        <f t="shared" si="0"/>
        <v>-5.6</v>
      </c>
      <c r="K5" s="179">
        <f t="shared" si="0"/>
        <v>36028</v>
      </c>
    </row>
    <row r="6" spans="1:11" s="130" customFormat="1" ht="11.25">
      <c r="A6" s="130" t="s">
        <v>715</v>
      </c>
      <c r="B6" s="71" t="str">
        <f>VLOOKUP($A6,format_3_table,B$3,FALSE)</f>
        <v>LDCDUNS##</v>
      </c>
      <c r="C6" s="71" t="str">
        <f t="shared" si="0"/>
        <v>SUPDUNS##</v>
      </c>
      <c r="D6" s="179">
        <f t="shared" si="0"/>
        <v>36028</v>
      </c>
      <c r="E6" s="71" t="str">
        <f t="shared" si="0"/>
        <v>Tracking Number</v>
      </c>
      <c r="F6" s="179">
        <f t="shared" si="0"/>
        <v>36031</v>
      </c>
      <c r="G6" s="71" t="str">
        <f t="shared" si="0"/>
        <v>S0000000000004</v>
      </c>
      <c r="H6" s="71" t="str">
        <f t="shared" si="0"/>
        <v>D000000000003A</v>
      </c>
      <c r="I6" s="71" t="str">
        <f t="shared" si="0"/>
        <v>003</v>
      </c>
      <c r="J6" s="71">
        <f t="shared" si="0"/>
        <v>44.07</v>
      </c>
      <c r="K6" s="179">
        <f t="shared" si="0"/>
        <v>36028</v>
      </c>
    </row>
    <row r="7" spans="1:11" s="130" customFormat="1" ht="11.25">
      <c r="A7" s="130" t="s">
        <v>716</v>
      </c>
      <c r="B7" s="71" t="str">
        <f>VLOOKUP($A7,format_3_table,B$3,FALSE)</f>
        <v>LDCDUNS##</v>
      </c>
      <c r="C7" s="71" t="str">
        <f t="shared" si="0"/>
        <v>SUPDUNS##</v>
      </c>
      <c r="D7" s="179">
        <f t="shared" si="0"/>
        <v>36028</v>
      </c>
      <c r="E7" s="71" t="str">
        <f t="shared" si="0"/>
        <v>Tracking Number</v>
      </c>
      <c r="F7" s="179">
        <f t="shared" si="0"/>
        <v>36031</v>
      </c>
      <c r="G7" s="71" t="str">
        <f t="shared" si="0"/>
        <v>S0000000000004</v>
      </c>
      <c r="H7" s="71" t="str">
        <f t="shared" si="0"/>
        <v>D000000000003A</v>
      </c>
      <c r="I7" s="71" t="str">
        <f t="shared" si="0"/>
        <v>007</v>
      </c>
      <c r="J7" s="71">
        <f t="shared" si="0"/>
        <v>44.07</v>
      </c>
      <c r="K7" s="179">
        <f t="shared" si="0"/>
        <v>36028</v>
      </c>
    </row>
    <row r="8" spans="3:9" s="121" customFormat="1" ht="12.75">
      <c r="C8" s="131"/>
      <c r="D8" s="215"/>
      <c r="E8" s="131"/>
      <c r="F8" s="131"/>
      <c r="G8" s="131"/>
      <c r="H8" s="133"/>
      <c r="I8" s="131"/>
    </row>
  </sheetData>
  <printOptions/>
  <pageMargins left="0.75" right="0.75" top="1" bottom="1" header="0.5" footer="0.5"/>
  <pageSetup fitToHeight="3" fitToWidth="1" horizontalDpi="600" verticalDpi="600" orientation="landscape" r:id="rId2"/>
  <headerFooter alignWithMargins="0">
    <oddHeader>&amp;CEBT Test Conditions
&amp;A</oddHeader>
    <oddFooter>&amp;LVersion 5.0&amp;CPage &amp;P&amp;RIssued:  June 25, 1999
</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C31"/>
  <sheetViews>
    <sheetView workbookViewId="0" topLeftCell="A1">
      <selection activeCell="D7" sqref="D7"/>
      <selection activeCell="B2" sqref="B2"/>
    </sheetView>
  </sheetViews>
  <sheetFormatPr defaultColWidth="9.140625" defaultRowHeight="12.75"/>
  <cols>
    <col min="1" max="1" width="19.28125" style="81" customWidth="1"/>
    <col min="2" max="2" width="12.57421875" style="125" customWidth="1"/>
    <col min="3" max="6" width="19.28125" style="81" customWidth="1"/>
    <col min="7" max="16384" width="8.8515625" style="81" customWidth="1"/>
  </cols>
  <sheetData>
    <row r="2" spans="1:2" ht="11.25">
      <c r="A2" s="199" t="s">
        <v>717</v>
      </c>
      <c r="B2" s="125" t="s">
        <v>718</v>
      </c>
    </row>
    <row r="4" spans="1:3" s="140" customFormat="1" ht="22.5">
      <c r="A4" s="127" t="s">
        <v>719</v>
      </c>
      <c r="B4" s="148" t="s">
        <v>720</v>
      </c>
      <c r="C4" s="139" t="s">
        <v>721</v>
      </c>
    </row>
    <row r="5" spans="1:3" ht="22.5">
      <c r="A5" s="15" t="str">
        <f>'Test Customer Information'!A2</f>
        <v>D0000000000001</v>
      </c>
      <c r="B5" s="149" t="s">
        <v>722</v>
      </c>
      <c r="C5" s="71"/>
    </row>
    <row r="6" spans="1:3" ht="45">
      <c r="A6" s="15" t="str">
        <f>'Test Customer Information'!A3</f>
        <v>D0000000000002</v>
      </c>
      <c r="B6" s="149" t="s">
        <v>723</v>
      </c>
      <c r="C6" s="71"/>
    </row>
    <row r="7" spans="1:3" ht="45">
      <c r="A7" s="15" t="str">
        <f>'Test Customer Information'!A4</f>
        <v>D0000000000003</v>
      </c>
      <c r="B7" s="149" t="s">
        <v>724</v>
      </c>
      <c r="C7" s="71"/>
    </row>
    <row r="8" spans="1:3" ht="22.5">
      <c r="A8" s="15" t="str">
        <f>'Test Customer Information'!A6</f>
        <v>D0000000000004</v>
      </c>
      <c r="B8" s="149" t="s">
        <v>725</v>
      </c>
      <c r="C8" s="71"/>
    </row>
    <row r="9" spans="1:3" ht="11.25">
      <c r="A9" s="15" t="str">
        <f>'Test Customer Information'!A7</f>
        <v>D0000000000005</v>
      </c>
      <c r="B9" s="15" t="s">
        <v>29</v>
      </c>
      <c r="C9" s="71"/>
    </row>
    <row r="10" spans="1:3" ht="11.25">
      <c r="A10" s="15" t="str">
        <f>'Test Customer Information'!A8</f>
        <v>D0000000000006</v>
      </c>
      <c r="B10" s="15" t="s">
        <v>33</v>
      </c>
      <c r="C10" s="71"/>
    </row>
    <row r="11" spans="1:3" ht="11.25">
      <c r="A11" s="15" t="str">
        <f>'Test Customer Information'!A10</f>
        <v>D0000000000007</v>
      </c>
      <c r="B11" s="71" t="s">
        <v>726</v>
      </c>
      <c r="C11" s="71" t="s">
        <v>726</v>
      </c>
    </row>
    <row r="12" spans="1:3" ht="11.25">
      <c r="A12" s="15" t="str">
        <f>'Test Customer Information'!A11</f>
        <v>D0000000000008</v>
      </c>
      <c r="B12" s="15" t="s">
        <v>38</v>
      </c>
      <c r="C12" s="71"/>
    </row>
    <row r="13" spans="1:3" ht="11.25">
      <c r="A13" s="15" t="str">
        <f>'Test Customer Information'!A12</f>
        <v>D0000000000009</v>
      </c>
      <c r="B13" s="15" t="s">
        <v>74</v>
      </c>
      <c r="C13" s="71"/>
    </row>
    <row r="14" spans="1:3" ht="11.25">
      <c r="A14" s="15" t="str">
        <f>'Test Customer Information'!A13</f>
        <v>D0000000000010</v>
      </c>
      <c r="B14" s="15" t="s">
        <v>79</v>
      </c>
      <c r="C14" s="71"/>
    </row>
    <row r="15" spans="1:3" ht="22.5">
      <c r="A15" s="15" t="str">
        <f>'Test Customer Information'!A14</f>
        <v>D0000000000011</v>
      </c>
      <c r="B15" s="149" t="s">
        <v>727</v>
      </c>
      <c r="C15" s="71"/>
    </row>
    <row r="16" spans="1:3" ht="22.5">
      <c r="A16" s="15" t="str">
        <f>'Test Customer Information'!A15</f>
        <v>D0000000000012</v>
      </c>
      <c r="B16" s="149" t="s">
        <v>728</v>
      </c>
      <c r="C16" s="71"/>
    </row>
    <row r="17" spans="1:3" ht="11.25">
      <c r="A17" s="15" t="str">
        <f>'Test Customer Information'!A16</f>
        <v>D0000000000013</v>
      </c>
      <c r="B17" s="15" t="s">
        <v>91</v>
      </c>
      <c r="C17" s="71"/>
    </row>
    <row r="18" spans="1:3" ht="11.25">
      <c r="A18" s="15" t="str">
        <f>'Test Customer Information'!A17</f>
        <v>D0000000000014</v>
      </c>
      <c r="B18" s="15" t="s">
        <v>95</v>
      </c>
      <c r="C18" s="71"/>
    </row>
    <row r="19" spans="1:3" ht="11.25">
      <c r="A19" s="15" t="str">
        <f>'Test Customer Information'!A18</f>
        <v>D0000000000015</v>
      </c>
      <c r="B19" s="15" t="s">
        <v>99</v>
      </c>
      <c r="C19" s="71"/>
    </row>
    <row r="20" spans="1:3" ht="11.25">
      <c r="A20" s="15" t="str">
        <f>'Test Customer Information'!A19</f>
        <v>D0000000000016</v>
      </c>
      <c r="B20" s="15" t="s">
        <v>103</v>
      </c>
      <c r="C20" s="71"/>
    </row>
    <row r="21" spans="1:3" ht="11.25">
      <c r="A21" s="15" t="str">
        <f>'Test Customer Information'!A20</f>
        <v>D0000000000017</v>
      </c>
      <c r="B21" s="15" t="s">
        <v>107</v>
      </c>
      <c r="C21" s="71"/>
    </row>
    <row r="22" spans="1:3" ht="11.25">
      <c r="A22" s="15" t="str">
        <f>'Test Customer Information'!A21</f>
        <v>D0000000000018</v>
      </c>
      <c r="B22" s="15" t="s">
        <v>111</v>
      </c>
      <c r="C22" s="71"/>
    </row>
    <row r="23" spans="1:3" ht="11.25">
      <c r="A23" s="15" t="str">
        <f>'Test Customer Information'!A22</f>
        <v>D0000000000019</v>
      </c>
      <c r="B23" s="15" t="s">
        <v>115</v>
      </c>
      <c r="C23" s="71"/>
    </row>
    <row r="24" spans="1:3" ht="11.25">
      <c r="A24" s="15" t="str">
        <f>'Test Customer Information'!A23</f>
        <v>D0000000000020</v>
      </c>
      <c r="B24" s="15" t="s">
        <v>119</v>
      </c>
      <c r="C24" s="71"/>
    </row>
    <row r="25" spans="1:3" ht="11.25">
      <c r="A25" s="15" t="str">
        <f>'Test Customer Information'!A24</f>
        <v>D0000000000021</v>
      </c>
      <c r="B25" s="71" t="s">
        <v>137</v>
      </c>
      <c r="C25" s="71"/>
    </row>
    <row r="26" spans="1:3" ht="11.25">
      <c r="A26" s="15" t="str">
        <f>'Test Customer Information'!A25</f>
        <v>D0000000000022</v>
      </c>
      <c r="B26" s="71" t="s">
        <v>142</v>
      </c>
      <c r="C26" s="71"/>
    </row>
    <row r="27" spans="1:3" ht="11.25">
      <c r="A27" s="15" t="str">
        <f>'Test Customer Information'!A26</f>
        <v>D0000000000023</v>
      </c>
      <c r="B27" s="71" t="s">
        <v>726</v>
      </c>
      <c r="C27" s="71" t="s">
        <v>726</v>
      </c>
    </row>
    <row r="28" spans="1:3" ht="11.25">
      <c r="A28" s="15" t="str">
        <f>'Test Customer Information'!A27</f>
        <v>D0000000000024</v>
      </c>
      <c r="B28" s="71" t="s">
        <v>726</v>
      </c>
      <c r="C28" s="71" t="s">
        <v>726</v>
      </c>
    </row>
    <row r="29" spans="1:3" ht="11.25">
      <c r="A29" s="15" t="str">
        <f>'Test Customer Information'!A28</f>
        <v>D0000000000025</v>
      </c>
      <c r="B29" s="71" t="s">
        <v>726</v>
      </c>
      <c r="C29" s="71" t="s">
        <v>726</v>
      </c>
    </row>
    <row r="30" spans="1:3" ht="22.5">
      <c r="A30" s="71" t="str">
        <f>'Test Customer Information'!A9</f>
        <v>D000000000002A</v>
      </c>
      <c r="B30" s="149" t="s">
        <v>729</v>
      </c>
      <c r="C30" s="71"/>
    </row>
    <row r="31" spans="1:3" ht="22.5">
      <c r="A31" s="71" t="str">
        <f>'Test Customer Information'!A5</f>
        <v>D000000000003A</v>
      </c>
      <c r="B31" s="149" t="s">
        <v>730</v>
      </c>
      <c r="C31" s="71"/>
    </row>
  </sheetData>
  <printOptions/>
  <pageMargins left="0.75" right="0.75" top="1" bottom="1" header="0.5" footer="0.5"/>
  <pageSetup fitToHeight="3" fitToWidth="1" horizontalDpi="600" verticalDpi="600" orientation="landscape" r:id="rId1"/>
  <headerFooter alignWithMargins="0">
    <oddHeader>&amp;CEBT Test Conditions
&amp;A</oddHeader>
    <oddFooter>&amp;LVersion 5.0&amp;CPage &amp;P&amp;RIssued:  June 25, 1999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C31"/>
  <sheetViews>
    <sheetView workbookViewId="0" topLeftCell="A1">
      <selection activeCell="D7" sqref="D7"/>
      <selection activeCell="B2" sqref="B2"/>
    </sheetView>
  </sheetViews>
  <sheetFormatPr defaultColWidth="9.140625" defaultRowHeight="12.75"/>
  <cols>
    <col min="1" max="1" width="19.28125" style="125" customWidth="1"/>
    <col min="2" max="2" width="12.57421875" style="125" customWidth="1"/>
    <col min="3" max="3" width="19.28125" style="81" customWidth="1"/>
    <col min="4" max="16384" width="8.8515625" style="81" customWidth="1"/>
  </cols>
  <sheetData>
    <row r="2" spans="1:2" ht="11.25">
      <c r="A2" s="200" t="s">
        <v>731</v>
      </c>
      <c r="B2" s="125" t="s">
        <v>732</v>
      </c>
    </row>
    <row r="4" spans="1:3" ht="22.5">
      <c r="A4" s="150" t="s">
        <v>719</v>
      </c>
      <c r="B4" s="148" t="s">
        <v>720</v>
      </c>
      <c r="C4" s="139" t="s">
        <v>733</v>
      </c>
    </row>
    <row r="5" spans="1:3" ht="22.5">
      <c r="A5" s="15" t="s">
        <v>734</v>
      </c>
      <c r="B5" s="149" t="s">
        <v>722</v>
      </c>
      <c r="C5" s="71"/>
    </row>
    <row r="6" spans="1:3" ht="67.5">
      <c r="A6" s="15" t="s">
        <v>735</v>
      </c>
      <c r="B6" s="149" t="s">
        <v>736</v>
      </c>
      <c r="C6" s="71"/>
    </row>
    <row r="7" spans="1:3" ht="11.25">
      <c r="A7" s="15" t="s">
        <v>737</v>
      </c>
      <c r="B7" s="15" t="s">
        <v>16</v>
      </c>
      <c r="C7" s="71"/>
    </row>
    <row r="8" spans="1:3" ht="56.25">
      <c r="A8" s="15" t="s">
        <v>738</v>
      </c>
      <c r="B8" s="149" t="s">
        <v>739</v>
      </c>
      <c r="C8" s="71"/>
    </row>
    <row r="9" spans="1:3" ht="11.25">
      <c r="A9" s="15" t="s">
        <v>740</v>
      </c>
      <c r="B9" s="15" t="s">
        <v>67</v>
      </c>
      <c r="C9" s="71"/>
    </row>
    <row r="10" spans="1:3" ht="22.5">
      <c r="A10" s="15" t="s">
        <v>741</v>
      </c>
      <c r="B10" s="149" t="s">
        <v>725</v>
      </c>
      <c r="C10" s="71"/>
    </row>
    <row r="11" spans="1:3" ht="11.25">
      <c r="A11" s="15" t="s">
        <v>742</v>
      </c>
      <c r="B11" s="15" t="s">
        <v>29</v>
      </c>
      <c r="C11" s="71"/>
    </row>
    <row r="12" spans="1:3" ht="11.25">
      <c r="A12" s="15" t="s">
        <v>743</v>
      </c>
      <c r="B12" s="149" t="s">
        <v>33</v>
      </c>
      <c r="C12" s="71"/>
    </row>
    <row r="13" spans="1:3" ht="11.25">
      <c r="A13" s="15" t="s">
        <v>744</v>
      </c>
      <c r="B13" s="71" t="s">
        <v>38</v>
      </c>
      <c r="C13" s="71"/>
    </row>
    <row r="14" spans="1:3" ht="11.25">
      <c r="A14" s="15" t="s">
        <v>745</v>
      </c>
      <c r="B14" s="15" t="s">
        <v>74</v>
      </c>
      <c r="C14" s="71"/>
    </row>
    <row r="15" spans="1:3" ht="11.25">
      <c r="A15" s="15" t="s">
        <v>746</v>
      </c>
      <c r="B15" s="15" t="s">
        <v>79</v>
      </c>
      <c r="C15" s="71"/>
    </row>
    <row r="16" spans="1:3" ht="22.5">
      <c r="A16" s="15" t="s">
        <v>747</v>
      </c>
      <c r="B16" s="149" t="s">
        <v>727</v>
      </c>
      <c r="C16" s="71"/>
    </row>
    <row r="17" spans="1:3" ht="22.5">
      <c r="A17" s="15" t="s">
        <v>748</v>
      </c>
      <c r="B17" s="149" t="s">
        <v>728</v>
      </c>
      <c r="C17" s="71"/>
    </row>
    <row r="18" spans="1:3" ht="11.25">
      <c r="A18" s="15" t="s">
        <v>749</v>
      </c>
      <c r="B18" s="15" t="s">
        <v>91</v>
      </c>
      <c r="C18" s="71"/>
    </row>
    <row r="19" spans="1:3" ht="11.25">
      <c r="A19" s="15" t="s">
        <v>750</v>
      </c>
      <c r="B19" s="15" t="s">
        <v>95</v>
      </c>
      <c r="C19" s="71"/>
    </row>
    <row r="20" spans="1:3" ht="11.25">
      <c r="A20" s="15" t="s">
        <v>751</v>
      </c>
      <c r="B20" s="15" t="s">
        <v>99</v>
      </c>
      <c r="C20" s="71"/>
    </row>
    <row r="21" spans="1:3" ht="11.25">
      <c r="A21" s="15" t="s">
        <v>752</v>
      </c>
      <c r="B21" s="15" t="s">
        <v>103</v>
      </c>
      <c r="C21" s="71"/>
    </row>
    <row r="22" spans="1:3" ht="11.25">
      <c r="A22" s="15" t="s">
        <v>753</v>
      </c>
      <c r="B22" s="15" t="s">
        <v>107</v>
      </c>
      <c r="C22" s="71"/>
    </row>
    <row r="23" spans="1:3" ht="11.25">
      <c r="A23" s="15" t="s">
        <v>754</v>
      </c>
      <c r="B23" s="15" t="s">
        <v>111</v>
      </c>
      <c r="C23" s="71"/>
    </row>
    <row r="24" spans="1:3" ht="11.25">
      <c r="A24" s="15" t="s">
        <v>755</v>
      </c>
      <c r="B24" s="15" t="s">
        <v>115</v>
      </c>
      <c r="C24" s="71"/>
    </row>
    <row r="25" spans="1:3" ht="11.25">
      <c r="A25" s="15" t="s">
        <v>756</v>
      </c>
      <c r="B25" s="15" t="s">
        <v>119</v>
      </c>
      <c r="C25" s="71"/>
    </row>
    <row r="26" spans="1:3" ht="11.25">
      <c r="A26" s="15" t="s">
        <v>757</v>
      </c>
      <c r="B26" s="71" t="s">
        <v>137</v>
      </c>
      <c r="C26" s="71"/>
    </row>
    <row r="27" spans="1:3" ht="11.25">
      <c r="A27" s="15" t="s">
        <v>758</v>
      </c>
      <c r="B27" s="71" t="s">
        <v>142</v>
      </c>
      <c r="C27" s="71"/>
    </row>
    <row r="28" spans="1:3" ht="11.25">
      <c r="A28" s="15" t="s">
        <v>759</v>
      </c>
      <c r="B28" s="71" t="s">
        <v>726</v>
      </c>
      <c r="C28" s="71" t="s">
        <v>726</v>
      </c>
    </row>
    <row r="29" spans="1:3" ht="11.25">
      <c r="A29" s="15" t="s">
        <v>760</v>
      </c>
      <c r="B29" s="71" t="s">
        <v>726</v>
      </c>
      <c r="C29" s="71" t="s">
        <v>726</v>
      </c>
    </row>
    <row r="30" spans="1:3" ht="11.25">
      <c r="A30" s="15" t="s">
        <v>761</v>
      </c>
      <c r="B30" s="71" t="s">
        <v>726</v>
      </c>
      <c r="C30" s="71" t="s">
        <v>726</v>
      </c>
    </row>
    <row r="31" ht="11.25">
      <c r="B31" s="15"/>
    </row>
  </sheetData>
  <printOptions/>
  <pageMargins left="0.75" right="0.75" top="1" bottom="1" header="0.5" footer="0.5"/>
  <pageSetup fitToHeight="3" fitToWidth="1" horizontalDpi="600" verticalDpi="600" orientation="landscape" r:id="rId1"/>
  <headerFooter alignWithMargins="0">
    <oddHeader>&amp;CEBT Test Conditions
&amp;A</oddHeader>
    <oddFooter>&amp;LVersion 5.0&amp;CPage &amp;P&amp;RIssued:  June 25, 1999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15"/>
  <sheetViews>
    <sheetView tabSelected="1" workbookViewId="0" topLeftCell="I1">
      <selection activeCell="A1" sqref="A1"/>
      <selection activeCell="A18" sqref="A18"/>
    </sheetView>
  </sheetViews>
  <sheetFormatPr defaultColWidth="9.140625" defaultRowHeight="12.75"/>
  <cols>
    <col min="1" max="1" width="23.8515625" style="0" customWidth="1"/>
    <col min="2" max="2" width="5.7109375" style="0" customWidth="1"/>
    <col min="3" max="3" width="7.28125" style="0" customWidth="1"/>
    <col min="4" max="5" width="9.00390625" style="0" customWidth="1"/>
    <col min="6" max="6" width="7.8515625" style="0" customWidth="1"/>
    <col min="7" max="8" width="9.28125" style="0" customWidth="1"/>
    <col min="9" max="9" width="9.57421875" style="0" customWidth="1"/>
    <col min="10" max="10" width="9.00390625" style="0" customWidth="1"/>
    <col min="12" max="12" width="9.28125" style="0" customWidth="1"/>
    <col min="13" max="13" width="9.57421875" style="0" customWidth="1"/>
    <col min="14" max="14" width="9.00390625" style="0" customWidth="1"/>
    <col min="15" max="15" width="7.28125" style="0" customWidth="1"/>
    <col min="16" max="16" width="9.28125" style="0" customWidth="1"/>
  </cols>
  <sheetData>
    <row r="1" spans="1:8" ht="15">
      <c r="A1" s="228" t="s">
        <v>147</v>
      </c>
      <c r="G1" s="228" t="s">
        <v>148</v>
      </c>
      <c r="H1" s="228"/>
    </row>
    <row r="2" spans="1:18" ht="64.5">
      <c r="A2" s="228"/>
      <c r="B2" s="229" t="s">
        <v>149</v>
      </c>
      <c r="C2" s="229" t="s">
        <v>150</v>
      </c>
      <c r="D2" s="229" t="s">
        <v>151</v>
      </c>
      <c r="E2" s="229" t="s">
        <v>811</v>
      </c>
      <c r="F2" s="230" t="s">
        <v>152</v>
      </c>
      <c r="G2" s="229" t="s">
        <v>150</v>
      </c>
      <c r="H2" s="229" t="s">
        <v>815</v>
      </c>
      <c r="I2" s="229" t="s">
        <v>153</v>
      </c>
      <c r="J2" s="229" t="s">
        <v>154</v>
      </c>
      <c r="K2" s="229" t="s">
        <v>155</v>
      </c>
      <c r="L2" s="229" t="s">
        <v>156</v>
      </c>
      <c r="M2" s="229" t="s">
        <v>157</v>
      </c>
      <c r="N2" s="229" t="s">
        <v>158</v>
      </c>
      <c r="O2" s="229" t="s">
        <v>159</v>
      </c>
      <c r="P2" s="229" t="s">
        <v>160</v>
      </c>
      <c r="Q2" s="229" t="s">
        <v>816</v>
      </c>
      <c r="R2" s="229" t="s">
        <v>817</v>
      </c>
    </row>
    <row r="3" spans="1:6" ht="12.75">
      <c r="A3" s="231" t="s">
        <v>161</v>
      </c>
      <c r="F3" s="232"/>
    </row>
    <row r="4" spans="1:18" ht="12.75">
      <c r="A4" s="233" t="s">
        <v>162</v>
      </c>
      <c r="B4" s="233">
        <v>13</v>
      </c>
      <c r="C4" s="233">
        <v>13</v>
      </c>
      <c r="D4" s="233">
        <v>13</v>
      </c>
      <c r="E4" s="233">
        <v>13</v>
      </c>
      <c r="F4" s="234">
        <v>13</v>
      </c>
      <c r="G4" s="233">
        <v>13</v>
      </c>
      <c r="H4" s="233">
        <v>11</v>
      </c>
      <c r="I4" s="235" t="s">
        <v>163</v>
      </c>
      <c r="J4" s="233">
        <v>14</v>
      </c>
      <c r="K4" s="233">
        <v>11</v>
      </c>
      <c r="L4" s="233">
        <v>11</v>
      </c>
      <c r="M4" s="233">
        <v>11</v>
      </c>
      <c r="N4" s="233">
        <v>14</v>
      </c>
      <c r="O4" s="235" t="s">
        <v>163</v>
      </c>
      <c r="P4" s="233">
        <v>11</v>
      </c>
      <c r="Q4" s="233">
        <v>11</v>
      </c>
      <c r="R4" s="233">
        <v>11</v>
      </c>
    </row>
    <row r="5" ht="12.75">
      <c r="F5" s="232"/>
    </row>
    <row r="6" spans="1:18" ht="12.75">
      <c r="A6" t="s">
        <v>164</v>
      </c>
      <c r="B6" t="s">
        <v>165</v>
      </c>
      <c r="C6" t="s">
        <v>165</v>
      </c>
      <c r="D6" t="s">
        <v>165</v>
      </c>
      <c r="E6" t="s">
        <v>165</v>
      </c>
      <c r="F6" s="232" t="s">
        <v>165</v>
      </c>
      <c r="G6" t="s">
        <v>165</v>
      </c>
      <c r="H6" t="s">
        <v>166</v>
      </c>
      <c r="I6" t="s">
        <v>166</v>
      </c>
      <c r="J6" t="s">
        <v>166</v>
      </c>
      <c r="K6" t="s">
        <v>166</v>
      </c>
      <c r="L6" t="s">
        <v>166</v>
      </c>
      <c r="M6" t="s">
        <v>166</v>
      </c>
      <c r="N6" t="s">
        <v>166</v>
      </c>
      <c r="O6" t="s">
        <v>166</v>
      </c>
      <c r="P6" t="s">
        <v>166</v>
      </c>
      <c r="Q6" t="s">
        <v>166</v>
      </c>
      <c r="R6" t="s">
        <v>813</v>
      </c>
    </row>
    <row r="7" ht="12.75">
      <c r="F7" s="232"/>
    </row>
    <row r="8" spans="1:18" ht="12.75">
      <c r="A8" t="s">
        <v>167</v>
      </c>
      <c r="B8" t="s">
        <v>168</v>
      </c>
      <c r="C8" t="s">
        <v>168</v>
      </c>
      <c r="D8" t="s">
        <v>168</v>
      </c>
      <c r="E8" t="s">
        <v>168</v>
      </c>
      <c r="F8" s="232" t="s">
        <v>169</v>
      </c>
      <c r="G8" t="s">
        <v>168</v>
      </c>
      <c r="H8" t="s">
        <v>168</v>
      </c>
      <c r="I8" t="s">
        <v>168</v>
      </c>
      <c r="J8" t="s">
        <v>168</v>
      </c>
      <c r="K8" t="s">
        <v>168</v>
      </c>
      <c r="L8" t="s">
        <v>168</v>
      </c>
      <c r="M8" t="s">
        <v>168</v>
      </c>
      <c r="N8" t="s">
        <v>168</v>
      </c>
      <c r="O8" t="s">
        <v>168</v>
      </c>
      <c r="P8" t="s">
        <v>169</v>
      </c>
      <c r="Q8" t="s">
        <v>168</v>
      </c>
      <c r="R8" t="s">
        <v>818</v>
      </c>
    </row>
    <row r="9" ht="12.75">
      <c r="F9" s="232"/>
    </row>
    <row r="10" spans="1:18" ht="12.75">
      <c r="A10" s="233" t="s">
        <v>170</v>
      </c>
      <c r="B10" s="233">
        <v>7</v>
      </c>
      <c r="C10" s="233">
        <v>7</v>
      </c>
      <c r="D10" s="233">
        <v>7</v>
      </c>
      <c r="E10" s="233">
        <v>7</v>
      </c>
      <c r="F10" s="234">
        <v>7</v>
      </c>
      <c r="G10" s="233">
        <v>7</v>
      </c>
      <c r="H10" s="233" t="s">
        <v>171</v>
      </c>
      <c r="I10" s="233" t="s">
        <v>171</v>
      </c>
      <c r="J10" s="233">
        <v>27</v>
      </c>
      <c r="K10" s="233" t="s">
        <v>172</v>
      </c>
      <c r="L10" s="233" t="s">
        <v>172</v>
      </c>
      <c r="M10" s="233" t="s">
        <v>172</v>
      </c>
      <c r="N10" s="233">
        <v>7</v>
      </c>
      <c r="O10" s="233" t="s">
        <v>173</v>
      </c>
      <c r="P10" s="233" t="s">
        <v>172</v>
      </c>
      <c r="Q10" s="233" t="s">
        <v>171</v>
      </c>
      <c r="R10" s="233" t="s">
        <v>172</v>
      </c>
    </row>
    <row r="11" ht="12.75">
      <c r="F11" s="232"/>
    </row>
    <row r="12" spans="1:18" ht="12.75">
      <c r="A12" s="235" t="s">
        <v>174</v>
      </c>
      <c r="B12" s="235" t="s">
        <v>175</v>
      </c>
      <c r="C12" s="235" t="s">
        <v>176</v>
      </c>
      <c r="D12" s="235" t="s">
        <v>177</v>
      </c>
      <c r="E12" s="235" t="s">
        <v>812</v>
      </c>
      <c r="F12" s="236" t="s">
        <v>178</v>
      </c>
      <c r="G12" s="235" t="s">
        <v>176</v>
      </c>
      <c r="H12" s="235" t="s">
        <v>176</v>
      </c>
      <c r="I12" s="235" t="s">
        <v>175</v>
      </c>
      <c r="J12" s="235" t="s">
        <v>179</v>
      </c>
      <c r="K12" s="235" t="s">
        <v>175</v>
      </c>
      <c r="L12" s="235" t="s">
        <v>176</v>
      </c>
      <c r="M12" s="235" t="s">
        <v>177</v>
      </c>
      <c r="N12" s="235" t="s">
        <v>177</v>
      </c>
      <c r="O12" s="235" t="s">
        <v>177</v>
      </c>
      <c r="P12" s="235" t="s">
        <v>178</v>
      </c>
      <c r="Q12" s="238" t="s">
        <v>812</v>
      </c>
      <c r="R12" s="238" t="s">
        <v>812</v>
      </c>
    </row>
    <row r="13" spans="1:16" ht="12.75">
      <c r="A13" s="235"/>
      <c r="B13" s="235"/>
      <c r="C13" s="235"/>
      <c r="D13" s="235"/>
      <c r="E13" s="235"/>
      <c r="F13" s="236"/>
      <c r="G13" s="235"/>
      <c r="H13" s="235"/>
      <c r="I13" s="235"/>
      <c r="J13" s="235"/>
      <c r="K13" s="235"/>
      <c r="L13" s="235"/>
      <c r="M13" s="235"/>
      <c r="N13" s="235"/>
      <c r="O13" s="235"/>
      <c r="P13" s="235"/>
    </row>
    <row r="14" spans="1:18" ht="12.75">
      <c r="A14" s="235" t="s">
        <v>180</v>
      </c>
      <c r="B14" s="235" t="s">
        <v>181</v>
      </c>
      <c r="C14" s="235" t="s">
        <v>182</v>
      </c>
      <c r="D14" s="235" t="s">
        <v>183</v>
      </c>
      <c r="E14" s="235" t="s">
        <v>216</v>
      </c>
      <c r="F14" s="236" t="s">
        <v>184</v>
      </c>
      <c r="G14" s="235" t="s">
        <v>182</v>
      </c>
      <c r="H14" s="235" t="s">
        <v>216</v>
      </c>
      <c r="I14" s="235" t="s">
        <v>181</v>
      </c>
      <c r="J14" s="235" t="s">
        <v>7</v>
      </c>
      <c r="K14" s="235" t="s">
        <v>185</v>
      </c>
      <c r="L14" s="235" t="s">
        <v>186</v>
      </c>
      <c r="M14" s="235" t="s">
        <v>187</v>
      </c>
      <c r="N14" s="235" t="s">
        <v>183</v>
      </c>
      <c r="O14" s="235" t="s">
        <v>188</v>
      </c>
      <c r="P14" s="235" t="s">
        <v>184</v>
      </c>
      <c r="Q14" s="235" t="s">
        <v>216</v>
      </c>
      <c r="R14" s="235" t="s">
        <v>216</v>
      </c>
    </row>
    <row r="15" spans="1:18" ht="12.75">
      <c r="A15" s="240" t="s">
        <v>820</v>
      </c>
      <c r="B15" s="235" t="s">
        <v>181</v>
      </c>
      <c r="C15" s="235" t="s">
        <v>182</v>
      </c>
      <c r="D15" s="235" t="s">
        <v>183</v>
      </c>
      <c r="E15" s="235" t="s">
        <v>220</v>
      </c>
      <c r="F15" s="239" t="s">
        <v>821</v>
      </c>
      <c r="G15" s="235" t="s">
        <v>182</v>
      </c>
      <c r="H15" s="235" t="s">
        <v>814</v>
      </c>
      <c r="I15" s="235" t="s">
        <v>181</v>
      </c>
      <c r="J15" s="235" t="s">
        <v>7</v>
      </c>
      <c r="K15" s="235" t="s">
        <v>822</v>
      </c>
      <c r="L15" s="235" t="s">
        <v>823</v>
      </c>
      <c r="M15" s="235" t="s">
        <v>824</v>
      </c>
      <c r="N15" s="235" t="s">
        <v>183</v>
      </c>
      <c r="O15" s="235" t="s">
        <v>188</v>
      </c>
      <c r="P15" s="235" t="s">
        <v>825</v>
      </c>
      <c r="Q15" s="235" t="s">
        <v>220</v>
      </c>
      <c r="R15" s="235" t="s">
        <v>819</v>
      </c>
    </row>
  </sheetData>
  <printOptions/>
  <pageMargins left="0.75" right="0.75" top="1" bottom="1" header="0.5" footer="0.5"/>
  <pageSetup fitToHeight="1" fitToWidth="1" horizontalDpi="600" verticalDpi="600" orientation="portrait" scale="53" r:id="rId2"/>
  <headerFooter alignWithMargins="0">
    <oddHeader>&amp;C&amp;A</oddHeader>
    <oddFooter>&amp;LVersion 5.0&amp;CPage &amp;P&amp;RIssued:  June 25, 1999</oddFooter>
  </headerFooter>
  <drawing r:id="rId1"/>
</worksheet>
</file>

<file path=xl/worksheets/sheet20.xml><?xml version="1.0" encoding="utf-8"?>
<worksheet xmlns="http://schemas.openxmlformats.org/spreadsheetml/2006/main" xmlns:r="http://schemas.openxmlformats.org/officeDocument/2006/relationships">
  <dimension ref="A1:D47"/>
  <sheetViews>
    <sheetView workbookViewId="0" topLeftCell="A32">
      <selection activeCell="D7" sqref="D7"/>
      <selection activeCell="A44" sqref="A44"/>
    </sheetView>
  </sheetViews>
  <sheetFormatPr defaultColWidth="9.140625" defaultRowHeight="12.75"/>
  <cols>
    <col min="1" max="1" width="22.7109375" style="142" customWidth="1"/>
    <col min="2" max="4" width="17.57421875" style="142" customWidth="1"/>
    <col min="5" max="16384" width="8.8515625" style="135" customWidth="1"/>
  </cols>
  <sheetData>
    <row r="1" spans="1:4" ht="25.5">
      <c r="A1" s="143" t="s">
        <v>762</v>
      </c>
      <c r="B1" s="143" t="s">
        <v>763</v>
      </c>
      <c r="C1" s="143" t="s">
        <v>764</v>
      </c>
      <c r="D1" s="143" t="s">
        <v>765</v>
      </c>
    </row>
    <row r="2" spans="1:4" ht="12.75">
      <c r="A2" s="141" t="s">
        <v>766</v>
      </c>
      <c r="B2" s="141"/>
      <c r="C2" s="141"/>
      <c r="D2" s="141"/>
    </row>
    <row r="3" spans="1:4" ht="12.75">
      <c r="A3" s="141" t="s">
        <v>767</v>
      </c>
      <c r="B3" s="141"/>
      <c r="C3" s="141"/>
      <c r="D3" s="141"/>
    </row>
    <row r="4" spans="1:4" ht="12.75">
      <c r="A4" s="141" t="s">
        <v>768</v>
      </c>
      <c r="B4" s="141"/>
      <c r="C4" s="141"/>
      <c r="D4" s="141"/>
    </row>
    <row r="5" spans="1:4" ht="12.75">
      <c r="A5" s="141" t="s">
        <v>769</v>
      </c>
      <c r="B5" s="141"/>
      <c r="C5" s="141"/>
      <c r="D5" s="141"/>
    </row>
    <row r="6" spans="1:4" ht="12.75">
      <c r="A6" s="141" t="s">
        <v>770</v>
      </c>
      <c r="B6" s="141"/>
      <c r="C6" s="141"/>
      <c r="D6" s="141"/>
    </row>
    <row r="7" spans="1:4" ht="12.75">
      <c r="A7" s="141" t="s">
        <v>771</v>
      </c>
      <c r="B7" s="141"/>
      <c r="C7" s="141"/>
      <c r="D7" s="141"/>
    </row>
    <row r="8" spans="1:4" ht="12.75">
      <c r="A8" s="141" t="s">
        <v>772</v>
      </c>
      <c r="B8" s="141"/>
      <c r="C8" s="141"/>
      <c r="D8" s="141"/>
    </row>
    <row r="9" spans="1:4" ht="12.75">
      <c r="A9" s="141" t="s">
        <v>773</v>
      </c>
      <c r="B9" s="141"/>
      <c r="C9" s="141"/>
      <c r="D9" s="141"/>
    </row>
    <row r="10" spans="1:4" ht="12.75">
      <c r="A10" s="141" t="s">
        <v>774</v>
      </c>
      <c r="B10" s="141"/>
      <c r="C10" s="141"/>
      <c r="D10" s="141"/>
    </row>
    <row r="11" spans="1:4" ht="12.75">
      <c r="A11" s="141" t="s">
        <v>775</v>
      </c>
      <c r="B11" s="141"/>
      <c r="C11" s="141"/>
      <c r="D11" s="141"/>
    </row>
    <row r="12" spans="1:4" ht="12.75">
      <c r="A12" s="141" t="s">
        <v>776</v>
      </c>
      <c r="B12" s="141"/>
      <c r="C12" s="141"/>
      <c r="D12" s="141"/>
    </row>
    <row r="13" spans="1:4" ht="12.75">
      <c r="A13" s="141" t="s">
        <v>777</v>
      </c>
      <c r="B13" s="141"/>
      <c r="C13" s="141"/>
      <c r="D13" s="141"/>
    </row>
    <row r="14" spans="1:4" ht="12.75">
      <c r="A14" s="141" t="s">
        <v>778</v>
      </c>
      <c r="B14" s="141"/>
      <c r="C14" s="141"/>
      <c r="D14" s="141"/>
    </row>
    <row r="15" spans="1:4" ht="12.75">
      <c r="A15" s="141" t="s">
        <v>779</v>
      </c>
      <c r="B15" s="141"/>
      <c r="C15" s="141"/>
      <c r="D15" s="141"/>
    </row>
    <row r="16" spans="1:4" ht="12.75">
      <c r="A16" s="141" t="s">
        <v>780</v>
      </c>
      <c r="B16" s="141"/>
      <c r="C16" s="141"/>
      <c r="D16" s="141"/>
    </row>
    <row r="17" spans="1:4" ht="12.75">
      <c r="A17" s="141" t="s">
        <v>781</v>
      </c>
      <c r="B17" s="141"/>
      <c r="C17" s="141"/>
      <c r="D17" s="141"/>
    </row>
    <row r="18" spans="1:4" ht="12.75">
      <c r="A18" s="141" t="s">
        <v>782</v>
      </c>
      <c r="B18" s="141"/>
      <c r="C18" s="141"/>
      <c r="D18" s="141"/>
    </row>
    <row r="19" spans="1:4" ht="12.75">
      <c r="A19" s="141" t="s">
        <v>783</v>
      </c>
      <c r="B19" s="141"/>
      <c r="C19" s="141"/>
      <c r="D19" s="141"/>
    </row>
    <row r="20" spans="1:4" ht="12.75">
      <c r="A20" s="141" t="s">
        <v>784</v>
      </c>
      <c r="B20" s="141"/>
      <c r="C20" s="141"/>
      <c r="D20" s="141"/>
    </row>
    <row r="21" spans="1:4" ht="12.75">
      <c r="A21" s="141" t="s">
        <v>785</v>
      </c>
      <c r="B21" s="141"/>
      <c r="C21" s="141"/>
      <c r="D21" s="141"/>
    </row>
    <row r="22" spans="1:4" ht="12.75">
      <c r="A22" s="141" t="s">
        <v>786</v>
      </c>
      <c r="B22" s="141"/>
      <c r="C22" s="141"/>
      <c r="D22" s="141"/>
    </row>
    <row r="23" spans="1:4" ht="12.75">
      <c r="A23" s="141" t="s">
        <v>787</v>
      </c>
      <c r="B23" s="141"/>
      <c r="C23" s="141"/>
      <c r="D23" s="141"/>
    </row>
    <row r="24" spans="1:4" ht="12.75">
      <c r="A24" s="141" t="s">
        <v>788</v>
      </c>
      <c r="B24" s="141"/>
      <c r="C24" s="141"/>
      <c r="D24" s="141"/>
    </row>
    <row r="25" spans="1:4" ht="12.75">
      <c r="A25" s="141" t="s">
        <v>789</v>
      </c>
      <c r="B25" s="141"/>
      <c r="C25" s="141"/>
      <c r="D25" s="141"/>
    </row>
    <row r="26" spans="1:4" ht="12.75">
      <c r="A26" s="141" t="s">
        <v>790</v>
      </c>
      <c r="B26" s="141"/>
      <c r="C26" s="141"/>
      <c r="D26" s="141"/>
    </row>
    <row r="27" spans="1:4" ht="12.75">
      <c r="A27" s="141" t="s">
        <v>791</v>
      </c>
      <c r="B27" s="141"/>
      <c r="C27" s="141"/>
      <c r="D27" s="141"/>
    </row>
    <row r="28" spans="1:4" ht="12.75">
      <c r="A28" s="141" t="s">
        <v>792</v>
      </c>
      <c r="B28" s="141"/>
      <c r="C28" s="141"/>
      <c r="D28" s="141"/>
    </row>
    <row r="29" spans="1:4" ht="12.75">
      <c r="A29" s="141" t="s">
        <v>793</v>
      </c>
      <c r="B29" s="141"/>
      <c r="C29" s="141"/>
      <c r="D29" s="141"/>
    </row>
    <row r="30" spans="1:4" ht="12.75">
      <c r="A30" s="141" t="s">
        <v>794</v>
      </c>
      <c r="B30" s="141"/>
      <c r="C30" s="141"/>
      <c r="D30" s="141"/>
    </row>
    <row r="31" spans="1:4" ht="12.75">
      <c r="A31" s="141" t="s">
        <v>795</v>
      </c>
      <c r="B31" s="141"/>
      <c r="C31" s="141"/>
      <c r="D31" s="141"/>
    </row>
    <row r="32" spans="1:4" ht="12.75">
      <c r="A32" s="141" t="s">
        <v>796</v>
      </c>
      <c r="B32" s="141"/>
      <c r="C32" s="141"/>
      <c r="D32" s="141"/>
    </row>
    <row r="33" spans="1:4" ht="12.75">
      <c r="A33" s="141" t="s">
        <v>797</v>
      </c>
      <c r="B33" s="141"/>
      <c r="C33" s="141"/>
      <c r="D33" s="141"/>
    </row>
    <row r="34" spans="1:4" ht="12.75">
      <c r="A34" s="141" t="s">
        <v>798</v>
      </c>
      <c r="B34" s="141"/>
      <c r="C34" s="141"/>
      <c r="D34" s="141"/>
    </row>
    <row r="35" spans="1:4" ht="12.75">
      <c r="A35" s="141" t="s">
        <v>799</v>
      </c>
      <c r="B35" s="141"/>
      <c r="C35" s="141"/>
      <c r="D35" s="141"/>
    </row>
    <row r="36" spans="1:4" ht="12.75">
      <c r="A36" s="141" t="s">
        <v>800</v>
      </c>
      <c r="B36" s="141"/>
      <c r="C36" s="141"/>
      <c r="D36" s="141"/>
    </row>
    <row r="37" spans="1:4" ht="12.75">
      <c r="A37" s="141" t="s">
        <v>801</v>
      </c>
      <c r="B37" s="141"/>
      <c r="C37" s="141"/>
      <c r="D37" s="141"/>
    </row>
    <row r="38" spans="1:4" ht="12.75">
      <c r="A38" s="141" t="s">
        <v>802</v>
      </c>
      <c r="B38" s="141"/>
      <c r="C38" s="141"/>
      <c r="D38" s="141"/>
    </row>
    <row r="39" spans="1:4" ht="12.75">
      <c r="A39" s="141" t="s">
        <v>803</v>
      </c>
      <c r="B39" s="141"/>
      <c r="C39" s="141"/>
      <c r="D39" s="141"/>
    </row>
    <row r="40" spans="1:4" ht="12.75">
      <c r="A40" s="141" t="s">
        <v>804</v>
      </c>
      <c r="B40" s="141"/>
      <c r="C40" s="141"/>
      <c r="D40" s="141"/>
    </row>
    <row r="41" spans="1:4" ht="12.75">
      <c r="A41" s="141" t="s">
        <v>805</v>
      </c>
      <c r="B41" s="141"/>
      <c r="C41" s="141"/>
      <c r="D41" s="141"/>
    </row>
    <row r="42" spans="1:4" ht="12.75">
      <c r="A42" s="141" t="s">
        <v>806</v>
      </c>
      <c r="B42" s="141"/>
      <c r="C42" s="141"/>
      <c r="D42" s="141"/>
    </row>
    <row r="43" spans="1:4" ht="12.75">
      <c r="A43" s="141" t="s">
        <v>807</v>
      </c>
      <c r="B43" s="141"/>
      <c r="C43" s="141"/>
      <c r="D43" s="141"/>
    </row>
    <row r="44" spans="1:4" ht="12.75">
      <c r="A44" s="141" t="s">
        <v>455</v>
      </c>
      <c r="B44" s="141"/>
      <c r="C44" s="141"/>
      <c r="D44" s="141"/>
    </row>
    <row r="45" spans="1:4" ht="12.75">
      <c r="A45" s="154" t="s">
        <v>808</v>
      </c>
      <c r="B45" s="141"/>
      <c r="C45" s="141"/>
      <c r="D45" s="141"/>
    </row>
    <row r="46" spans="1:4" ht="12.75">
      <c r="A46" s="154" t="s">
        <v>809</v>
      </c>
      <c r="B46" s="141"/>
      <c r="C46" s="141"/>
      <c r="D46" s="141"/>
    </row>
    <row r="47" spans="1:4" ht="12.75">
      <c r="A47" s="154" t="s">
        <v>810</v>
      </c>
      <c r="B47" s="141"/>
      <c r="C47" s="141"/>
      <c r="D47" s="141"/>
    </row>
  </sheetData>
  <printOptions/>
  <pageMargins left="0.75" right="0.75" top="1" bottom="1" header="0.5" footer="0.5"/>
  <pageSetup fitToHeight="3" horizontalDpi="600" verticalDpi="600" orientation="landscape" scale="75" r:id="rId1"/>
  <headerFooter alignWithMargins="0">
    <oddHeader>&amp;CEBT Test Conditions
&amp;A</oddHeader>
    <oddFooter>&amp;LVersion 5.0&amp;CPage &amp;P&amp;RIssued:  June 25, 1999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28"/>
  <sheetViews>
    <sheetView zoomScale="75" zoomScaleNormal="75" workbookViewId="0" topLeftCell="A1">
      <selection activeCell="D7" sqref="D7"/>
      <selection activeCell="D7" sqref="D7"/>
    </sheetView>
  </sheetViews>
  <sheetFormatPr defaultColWidth="9.140625" defaultRowHeight="12.75"/>
  <cols>
    <col min="1" max="1" width="14.8515625" style="125" customWidth="1"/>
    <col min="2" max="2" width="14.8515625" style="125" hidden="1" customWidth="1"/>
    <col min="3" max="3" width="17.57421875" style="125" customWidth="1"/>
    <col min="4" max="4" width="20.140625" style="125" hidden="1" customWidth="1"/>
    <col min="5" max="5" width="16.421875" style="125" customWidth="1"/>
    <col min="6" max="7" width="12.8515625" style="125" customWidth="1"/>
    <col min="8" max="8" width="8.7109375" style="125" customWidth="1"/>
    <col min="9" max="10" width="4.7109375" style="125" customWidth="1"/>
    <col min="11" max="11" width="6.140625" style="125" customWidth="1"/>
    <col min="12" max="12" width="6.7109375" style="125" customWidth="1"/>
    <col min="13" max="13" width="6.28125" style="125" customWidth="1"/>
    <col min="14" max="14" width="11.8515625" style="125" customWidth="1"/>
    <col min="15" max="15" width="6.28125" style="125" customWidth="1"/>
    <col min="16" max="16" width="6.57421875" style="125" customWidth="1"/>
    <col min="17" max="17" width="6.421875" style="125" customWidth="1"/>
    <col min="18" max="18" width="9.57421875" style="125" customWidth="1"/>
    <col min="19" max="20" width="9.28125" style="125" customWidth="1"/>
    <col min="21" max="22" width="9.57421875" style="125" customWidth="1"/>
    <col min="23" max="24" width="9.28125" style="125" customWidth="1"/>
    <col min="25" max="26" width="9.57421875" style="125" customWidth="1"/>
    <col min="27" max="16384" width="8.8515625" style="125" customWidth="1"/>
  </cols>
  <sheetData>
    <row r="1" spans="1:26" s="124" customFormat="1" ht="45">
      <c r="A1" s="109" t="s">
        <v>189</v>
      </c>
      <c r="B1" s="146" t="s">
        <v>190</v>
      </c>
      <c r="C1" s="109" t="s">
        <v>191</v>
      </c>
      <c r="D1" s="151" t="s">
        <v>192</v>
      </c>
      <c r="E1" s="123" t="s">
        <v>193</v>
      </c>
      <c r="F1" s="123" t="s">
        <v>194</v>
      </c>
      <c r="G1" s="123" t="s">
        <v>195</v>
      </c>
      <c r="H1" s="123" t="s">
        <v>196</v>
      </c>
      <c r="I1" s="109" t="s">
        <v>197</v>
      </c>
      <c r="J1" s="123" t="s">
        <v>198</v>
      </c>
      <c r="K1" s="123" t="s">
        <v>199</v>
      </c>
      <c r="L1" s="123" t="s">
        <v>200</v>
      </c>
      <c r="M1" s="109" t="s">
        <v>201</v>
      </c>
      <c r="N1" s="109" t="s">
        <v>202</v>
      </c>
      <c r="O1" s="123" t="s">
        <v>203</v>
      </c>
      <c r="P1" s="123" t="s">
        <v>204</v>
      </c>
      <c r="Q1" s="109" t="s">
        <v>205</v>
      </c>
      <c r="R1" s="109" t="s">
        <v>206</v>
      </c>
      <c r="S1" s="123" t="s">
        <v>207</v>
      </c>
      <c r="T1" s="123" t="s">
        <v>204</v>
      </c>
      <c r="U1" s="109" t="s">
        <v>208</v>
      </c>
      <c r="V1" s="109" t="s">
        <v>209</v>
      </c>
      <c r="W1" s="123" t="s">
        <v>210</v>
      </c>
      <c r="X1" s="123" t="s">
        <v>204</v>
      </c>
      <c r="Y1" s="109" t="s">
        <v>211</v>
      </c>
      <c r="Z1" s="109" t="s">
        <v>212</v>
      </c>
    </row>
    <row r="2" spans="1:26" ht="11.25">
      <c r="A2" s="15" t="s">
        <v>213</v>
      </c>
      <c r="B2" s="147" t="s">
        <v>214</v>
      </c>
      <c r="C2" s="15" t="s">
        <v>215</v>
      </c>
      <c r="D2" s="147" t="s">
        <v>216</v>
      </c>
      <c r="E2" s="15" t="s">
        <v>217</v>
      </c>
      <c r="F2" s="15" t="s">
        <v>216</v>
      </c>
      <c r="G2" s="15" t="s">
        <v>218</v>
      </c>
      <c r="H2" s="15" t="s">
        <v>219</v>
      </c>
      <c r="I2" s="15">
        <v>3</v>
      </c>
      <c r="J2" s="15" t="s">
        <v>220</v>
      </c>
      <c r="K2" s="15" t="s">
        <v>181</v>
      </c>
      <c r="L2" s="15" t="s">
        <v>220</v>
      </c>
      <c r="M2" s="15" t="s">
        <v>221</v>
      </c>
      <c r="N2" s="15" t="str">
        <f>'Service Id Table'!A2</f>
        <v>M000000001</v>
      </c>
      <c r="O2" s="15"/>
      <c r="P2" s="15"/>
      <c r="Q2" s="15"/>
      <c r="R2" s="15"/>
      <c r="S2" s="15"/>
      <c r="T2" s="15"/>
      <c r="U2" s="15"/>
      <c r="V2" s="15"/>
      <c r="W2" s="15"/>
      <c r="X2" s="15"/>
      <c r="Y2" s="15"/>
      <c r="Z2" s="15"/>
    </row>
    <row r="3" spans="1:26" ht="11.25">
      <c r="A3" s="15" t="s">
        <v>222</v>
      </c>
      <c r="B3" s="147" t="s">
        <v>223</v>
      </c>
      <c r="C3" s="15" t="s">
        <v>224</v>
      </c>
      <c r="D3" s="147" t="s">
        <v>216</v>
      </c>
      <c r="E3" s="15" t="s">
        <v>225</v>
      </c>
      <c r="F3" s="15" t="s">
        <v>226</v>
      </c>
      <c r="G3" s="15" t="s">
        <v>218</v>
      </c>
      <c r="H3" s="15" t="s">
        <v>219</v>
      </c>
      <c r="I3" s="15">
        <v>1</v>
      </c>
      <c r="J3" s="15" t="s">
        <v>220</v>
      </c>
      <c r="K3" s="15" t="s">
        <v>181</v>
      </c>
      <c r="L3" s="15" t="s">
        <v>220</v>
      </c>
      <c r="M3" s="15" t="s">
        <v>221</v>
      </c>
      <c r="N3" s="15" t="str">
        <f>'Service Id Table'!A3</f>
        <v>M000000002</v>
      </c>
      <c r="O3" s="15"/>
      <c r="P3" s="15"/>
      <c r="Q3" s="15"/>
      <c r="R3" s="15"/>
      <c r="S3" s="15"/>
      <c r="T3" s="15"/>
      <c r="U3" s="15"/>
      <c r="V3" s="15"/>
      <c r="W3" s="15"/>
      <c r="X3" s="15"/>
      <c r="Y3" s="15"/>
      <c r="Z3" s="15"/>
    </row>
    <row r="4" spans="1:26" ht="11.25">
      <c r="A4" s="15" t="s">
        <v>227</v>
      </c>
      <c r="B4" s="147" t="s">
        <v>228</v>
      </c>
      <c r="C4" s="15" t="s">
        <v>229</v>
      </c>
      <c r="D4" s="147" t="s">
        <v>216</v>
      </c>
      <c r="E4" s="15" t="s">
        <v>230</v>
      </c>
      <c r="F4" s="15" t="s">
        <v>216</v>
      </c>
      <c r="G4" s="15" t="s">
        <v>231</v>
      </c>
      <c r="H4" s="15" t="s">
        <v>219</v>
      </c>
      <c r="I4" s="15">
        <v>8</v>
      </c>
      <c r="J4" s="15" t="s">
        <v>220</v>
      </c>
      <c r="K4" s="15" t="s">
        <v>181</v>
      </c>
      <c r="L4" s="15" t="s">
        <v>220</v>
      </c>
      <c r="M4" s="15" t="s">
        <v>221</v>
      </c>
      <c r="N4" s="15" t="str">
        <f>'Service Id Table'!A4</f>
        <v>M000000003</v>
      </c>
      <c r="O4" s="15" t="s">
        <v>232</v>
      </c>
      <c r="P4" s="15" t="s">
        <v>220</v>
      </c>
      <c r="Q4" s="17">
        <v>116</v>
      </c>
      <c r="R4" s="17" t="str">
        <f>'Service Id Table'!A45</f>
        <v>U000000001</v>
      </c>
      <c r="S4" s="15"/>
      <c r="T4" s="15"/>
      <c r="U4" s="15"/>
      <c r="V4" s="15"/>
      <c r="W4" s="15"/>
      <c r="X4" s="15"/>
      <c r="Y4" s="15"/>
      <c r="Z4" s="15"/>
    </row>
    <row r="5" spans="1:26" ht="11.25">
      <c r="A5" s="15" t="s">
        <v>233</v>
      </c>
      <c r="B5" s="147" t="s">
        <v>228</v>
      </c>
      <c r="C5" s="15" t="s">
        <v>229</v>
      </c>
      <c r="D5" s="147" t="s">
        <v>216</v>
      </c>
      <c r="E5" s="15" t="s">
        <v>234</v>
      </c>
      <c r="F5" s="15" t="s">
        <v>216</v>
      </c>
      <c r="G5" s="15" t="s">
        <v>235</v>
      </c>
      <c r="H5" s="15" t="s">
        <v>219</v>
      </c>
      <c r="I5" s="15">
        <v>16</v>
      </c>
      <c r="J5" s="15" t="s">
        <v>220</v>
      </c>
      <c r="K5" s="15" t="s">
        <v>181</v>
      </c>
      <c r="L5" s="15" t="s">
        <v>220</v>
      </c>
      <c r="M5" s="15" t="s">
        <v>221</v>
      </c>
      <c r="N5" s="15" t="str">
        <f>'Service Id Table'!A5</f>
        <v>M000000004</v>
      </c>
      <c r="O5" s="15" t="s">
        <v>232</v>
      </c>
      <c r="P5" s="15" t="s">
        <v>220</v>
      </c>
      <c r="Q5" s="17">
        <v>116</v>
      </c>
      <c r="R5" s="17" t="str">
        <f>'Service Id Table'!A46</f>
        <v>U000000002</v>
      </c>
      <c r="S5" s="15"/>
      <c r="T5" s="15"/>
      <c r="U5" s="15"/>
      <c r="V5" s="15"/>
      <c r="W5" s="15"/>
      <c r="X5" s="15"/>
      <c r="Y5" s="15"/>
      <c r="Z5" s="15"/>
    </row>
    <row r="6" spans="1:26" ht="11.25">
      <c r="A6" s="15" t="s">
        <v>236</v>
      </c>
      <c r="B6" s="147" t="s">
        <v>237</v>
      </c>
      <c r="C6" s="15" t="s">
        <v>238</v>
      </c>
      <c r="D6" s="147" t="s">
        <v>239</v>
      </c>
      <c r="E6" s="15" t="s">
        <v>240</v>
      </c>
      <c r="F6" s="15" t="s">
        <v>216</v>
      </c>
      <c r="G6" s="15" t="s">
        <v>218</v>
      </c>
      <c r="H6" s="15" t="s">
        <v>241</v>
      </c>
      <c r="I6" s="15">
        <v>7</v>
      </c>
      <c r="J6" s="15" t="s">
        <v>220</v>
      </c>
      <c r="K6" s="15" t="s">
        <v>183</v>
      </c>
      <c r="L6" s="15" t="s">
        <v>220</v>
      </c>
      <c r="M6" s="15" t="s">
        <v>242</v>
      </c>
      <c r="N6" s="15" t="str">
        <f>'Service Id Table'!A6</f>
        <v>M000000005</v>
      </c>
      <c r="O6" s="15" t="s">
        <v>181</v>
      </c>
      <c r="P6" s="15" t="s">
        <v>220</v>
      </c>
      <c r="Q6" s="15" t="s">
        <v>243</v>
      </c>
      <c r="R6" s="15" t="str">
        <f>'Service Id Table'!A7</f>
        <v>M000000006</v>
      </c>
      <c r="S6" s="15"/>
      <c r="T6" s="15"/>
      <c r="U6" s="15"/>
      <c r="V6" s="15"/>
      <c r="W6" s="15"/>
      <c r="X6" s="15"/>
      <c r="Y6" s="15"/>
      <c r="Z6" s="15"/>
    </row>
    <row r="7" spans="1:26" ht="11.25">
      <c r="A7" s="15" t="s">
        <v>244</v>
      </c>
      <c r="B7" s="147" t="s">
        <v>245</v>
      </c>
      <c r="C7" s="15" t="s">
        <v>246</v>
      </c>
      <c r="D7" s="147" t="s">
        <v>247</v>
      </c>
      <c r="E7" s="15" t="s">
        <v>248</v>
      </c>
      <c r="F7" s="15" t="s">
        <v>216</v>
      </c>
      <c r="G7" s="15" t="s">
        <v>218</v>
      </c>
      <c r="H7" s="15" t="s">
        <v>241</v>
      </c>
      <c r="I7" s="15">
        <v>12</v>
      </c>
      <c r="J7" s="15" t="s">
        <v>186</v>
      </c>
      <c r="K7" s="15" t="s">
        <v>183</v>
      </c>
      <c r="L7" s="15" t="s">
        <v>220</v>
      </c>
      <c r="M7" s="15" t="s">
        <v>242</v>
      </c>
      <c r="N7" s="15" t="str">
        <f>'Service Id Table'!A8</f>
        <v>M000000007</v>
      </c>
      <c r="O7" s="15" t="s">
        <v>181</v>
      </c>
      <c r="P7" s="15" t="s">
        <v>220</v>
      </c>
      <c r="Q7" s="15" t="s">
        <v>243</v>
      </c>
      <c r="R7" s="15" t="str">
        <f>'Service Id Table'!A9</f>
        <v>M000000008</v>
      </c>
      <c r="S7" s="15"/>
      <c r="T7" s="15"/>
      <c r="U7" s="15"/>
      <c r="V7" s="15"/>
      <c r="W7" s="15"/>
      <c r="X7" s="15"/>
      <c r="Y7" s="15"/>
      <c r="Z7" s="15"/>
    </row>
    <row r="8" spans="1:26" ht="11.25">
      <c r="A8" s="15" t="s">
        <v>249</v>
      </c>
      <c r="B8" s="147" t="s">
        <v>250</v>
      </c>
      <c r="C8" s="15" t="s">
        <v>251</v>
      </c>
      <c r="D8" s="147" t="s">
        <v>252</v>
      </c>
      <c r="E8" s="15" t="s">
        <v>253</v>
      </c>
      <c r="F8" s="15" t="s">
        <v>216</v>
      </c>
      <c r="G8" s="15" t="s">
        <v>218</v>
      </c>
      <c r="H8" s="15" t="s">
        <v>241</v>
      </c>
      <c r="I8" s="15">
        <v>18</v>
      </c>
      <c r="J8" s="15" t="s">
        <v>186</v>
      </c>
      <c r="K8" s="15" t="s">
        <v>183</v>
      </c>
      <c r="L8" s="15" t="s">
        <v>220</v>
      </c>
      <c r="M8" s="15" t="s">
        <v>242</v>
      </c>
      <c r="N8" s="15" t="str">
        <f>'Service Id Table'!A10</f>
        <v>M000000009</v>
      </c>
      <c r="O8" s="15"/>
      <c r="P8" s="15"/>
      <c r="Q8" s="15"/>
      <c r="R8" s="15"/>
      <c r="S8" s="15"/>
      <c r="T8" s="15"/>
      <c r="U8" s="15"/>
      <c r="V8" s="15"/>
      <c r="W8" s="15"/>
      <c r="X8" s="15"/>
      <c r="Y8" s="15"/>
      <c r="Z8" s="15"/>
    </row>
    <row r="9" spans="1:26" ht="11.25">
      <c r="A9" s="15" t="s">
        <v>254</v>
      </c>
      <c r="B9" s="147" t="s">
        <v>223</v>
      </c>
      <c r="C9" s="15" t="s">
        <v>224</v>
      </c>
      <c r="D9" s="147" t="s">
        <v>216</v>
      </c>
      <c r="E9" s="15" t="s">
        <v>255</v>
      </c>
      <c r="F9" s="15" t="s">
        <v>256</v>
      </c>
      <c r="G9" s="15" t="s">
        <v>218</v>
      </c>
      <c r="H9" s="15" t="s">
        <v>219</v>
      </c>
      <c r="I9" s="15">
        <v>15</v>
      </c>
      <c r="J9" s="15" t="s">
        <v>220</v>
      </c>
      <c r="K9" s="15" t="s">
        <v>181</v>
      </c>
      <c r="L9" s="15" t="s">
        <v>220</v>
      </c>
      <c r="M9" s="15" t="s">
        <v>221</v>
      </c>
      <c r="N9" s="15" t="str">
        <f>'Service Id Table'!A12</f>
        <v>M000000011</v>
      </c>
      <c r="O9" s="15"/>
      <c r="P9" s="15"/>
      <c r="Q9" s="15"/>
      <c r="R9" s="15"/>
      <c r="S9" s="15"/>
      <c r="T9" s="15"/>
      <c r="U9" s="15"/>
      <c r="V9" s="15"/>
      <c r="W9" s="15"/>
      <c r="X9" s="15"/>
      <c r="Y9" s="15"/>
      <c r="Z9" s="15"/>
    </row>
    <row r="10" spans="1:26" ht="11.25">
      <c r="A10" s="15" t="s">
        <v>257</v>
      </c>
      <c r="B10" s="147" t="s">
        <v>258</v>
      </c>
      <c r="C10" s="15" t="s">
        <v>259</v>
      </c>
      <c r="D10" s="147" t="s">
        <v>260</v>
      </c>
      <c r="E10" s="15" t="s">
        <v>261</v>
      </c>
      <c r="F10" s="15" t="s">
        <v>216</v>
      </c>
      <c r="G10" s="15" t="s">
        <v>218</v>
      </c>
      <c r="H10" s="15" t="s">
        <v>241</v>
      </c>
      <c r="I10" s="15">
        <v>2</v>
      </c>
      <c r="J10" s="15" t="s">
        <v>186</v>
      </c>
      <c r="K10" s="15" t="s">
        <v>183</v>
      </c>
      <c r="L10" s="15" t="s">
        <v>220</v>
      </c>
      <c r="M10" s="15" t="s">
        <v>242</v>
      </c>
      <c r="N10" s="15" t="str">
        <f>'Service Id Table'!A13</f>
        <v>M000000012</v>
      </c>
      <c r="O10" s="15" t="s">
        <v>181</v>
      </c>
      <c r="P10" s="15" t="s">
        <v>220</v>
      </c>
      <c r="Q10" s="15" t="s">
        <v>243</v>
      </c>
      <c r="R10" s="15" t="str">
        <f>'Service Id Table'!A14</f>
        <v>M000000013</v>
      </c>
      <c r="S10" s="15"/>
      <c r="T10" s="15"/>
      <c r="U10" s="15"/>
      <c r="V10" s="15"/>
      <c r="W10" s="15"/>
      <c r="X10" s="15"/>
      <c r="Y10" s="15"/>
      <c r="Z10" s="15"/>
    </row>
    <row r="11" spans="1:26" ht="11.25">
      <c r="A11" s="15" t="s">
        <v>262</v>
      </c>
      <c r="B11" s="147" t="s">
        <v>263</v>
      </c>
      <c r="C11" s="15" t="s">
        <v>264</v>
      </c>
      <c r="D11" s="147" t="s">
        <v>216</v>
      </c>
      <c r="E11" s="15" t="s">
        <v>265</v>
      </c>
      <c r="F11" s="15" t="s">
        <v>216</v>
      </c>
      <c r="G11" s="15" t="s">
        <v>218</v>
      </c>
      <c r="H11" s="15" t="s">
        <v>219</v>
      </c>
      <c r="I11" s="15">
        <v>3</v>
      </c>
      <c r="J11" s="15" t="s">
        <v>220</v>
      </c>
      <c r="K11" s="15" t="s">
        <v>181</v>
      </c>
      <c r="L11" s="15" t="s">
        <v>220</v>
      </c>
      <c r="M11" s="15" t="s">
        <v>221</v>
      </c>
      <c r="N11" s="15" t="str">
        <f>'Service Id Table'!A15</f>
        <v>M000000014</v>
      </c>
      <c r="O11" s="15"/>
      <c r="P11" s="15"/>
      <c r="Q11" s="15"/>
      <c r="R11" s="15"/>
      <c r="S11" s="15"/>
      <c r="T11" s="15"/>
      <c r="U11" s="15"/>
      <c r="V11" s="15"/>
      <c r="W11" s="15"/>
      <c r="X11" s="15"/>
      <c r="Y11" s="15"/>
      <c r="Z11" s="15"/>
    </row>
    <row r="12" spans="1:26" ht="11.25">
      <c r="A12" s="15" t="s">
        <v>266</v>
      </c>
      <c r="B12" s="147" t="s">
        <v>267</v>
      </c>
      <c r="C12" s="15" t="s">
        <v>268</v>
      </c>
      <c r="D12" s="147" t="s">
        <v>216</v>
      </c>
      <c r="E12" s="15" t="s">
        <v>269</v>
      </c>
      <c r="F12" s="15" t="s">
        <v>216</v>
      </c>
      <c r="G12" s="15" t="s">
        <v>218</v>
      </c>
      <c r="H12" s="15" t="s">
        <v>219</v>
      </c>
      <c r="I12" s="15">
        <v>6</v>
      </c>
      <c r="J12" s="15" t="s">
        <v>220</v>
      </c>
      <c r="K12" s="15" t="s">
        <v>181</v>
      </c>
      <c r="L12" s="15" t="s">
        <v>220</v>
      </c>
      <c r="M12" s="15" t="s">
        <v>221</v>
      </c>
      <c r="N12" s="15" t="str">
        <f>'Service Id Table'!A16</f>
        <v>M000000015</v>
      </c>
      <c r="O12" s="15"/>
      <c r="P12" s="15"/>
      <c r="Q12" s="15"/>
      <c r="R12" s="15"/>
      <c r="S12" s="15"/>
      <c r="T12" s="15"/>
      <c r="U12" s="15"/>
      <c r="V12" s="15"/>
      <c r="W12" s="15"/>
      <c r="X12" s="15"/>
      <c r="Y12" s="15"/>
      <c r="Z12" s="15"/>
    </row>
    <row r="13" spans="1:26" ht="11.25">
      <c r="A13" s="15" t="s">
        <v>270</v>
      </c>
      <c r="B13" s="147" t="s">
        <v>271</v>
      </c>
      <c r="C13" s="15" t="s">
        <v>272</v>
      </c>
      <c r="D13" s="147" t="s">
        <v>273</v>
      </c>
      <c r="E13" s="15" t="s">
        <v>274</v>
      </c>
      <c r="F13" s="15" t="s">
        <v>216</v>
      </c>
      <c r="G13" s="15" t="s">
        <v>218</v>
      </c>
      <c r="H13" s="15" t="s">
        <v>241</v>
      </c>
      <c r="I13" s="15">
        <v>6</v>
      </c>
      <c r="J13" s="15" t="s">
        <v>186</v>
      </c>
      <c r="K13" s="15" t="s">
        <v>183</v>
      </c>
      <c r="L13" s="15" t="s">
        <v>220</v>
      </c>
      <c r="M13" s="15" t="s">
        <v>242</v>
      </c>
      <c r="N13" s="15" t="str">
        <f>'Service Id Table'!A18</f>
        <v>M000000017</v>
      </c>
      <c r="O13" s="15" t="s">
        <v>183</v>
      </c>
      <c r="P13" s="15" t="s">
        <v>220</v>
      </c>
      <c r="Q13" s="15" t="s">
        <v>243</v>
      </c>
      <c r="R13" s="15" t="str">
        <f>'Service Id Table'!A19</f>
        <v>M000000018</v>
      </c>
      <c r="S13" s="15"/>
      <c r="T13" s="15"/>
      <c r="U13" s="15"/>
      <c r="V13" s="15"/>
      <c r="W13" s="15"/>
      <c r="X13" s="15"/>
      <c r="Y13" s="15"/>
      <c r="Z13" s="15"/>
    </row>
    <row r="14" spans="1:26" ht="11.25">
      <c r="A14" s="15" t="s">
        <v>275</v>
      </c>
      <c r="B14" s="147" t="s">
        <v>276</v>
      </c>
      <c r="C14" s="15" t="s">
        <v>277</v>
      </c>
      <c r="D14" s="147" t="s">
        <v>216</v>
      </c>
      <c r="E14" s="15" t="s">
        <v>278</v>
      </c>
      <c r="F14" s="15" t="s">
        <v>216</v>
      </c>
      <c r="G14" s="15" t="s">
        <v>218</v>
      </c>
      <c r="H14" s="15" t="s">
        <v>219</v>
      </c>
      <c r="I14" s="15">
        <v>6</v>
      </c>
      <c r="J14" s="15" t="s">
        <v>220</v>
      </c>
      <c r="K14" s="15" t="s">
        <v>181</v>
      </c>
      <c r="L14" s="15" t="s">
        <v>220</v>
      </c>
      <c r="M14" s="15" t="s">
        <v>221</v>
      </c>
      <c r="N14" s="15" t="str">
        <f>'Service Id Table'!A20</f>
        <v>M000000019</v>
      </c>
      <c r="O14" s="15"/>
      <c r="P14" s="15"/>
      <c r="Q14" s="15"/>
      <c r="R14" s="15"/>
      <c r="S14" s="15"/>
      <c r="T14" s="15"/>
      <c r="U14" s="15"/>
      <c r="V14" s="15"/>
      <c r="W14" s="15"/>
      <c r="X14" s="15"/>
      <c r="Y14" s="15"/>
      <c r="Z14" s="15"/>
    </row>
    <row r="15" spans="1:26" ht="11.25">
      <c r="A15" s="15" t="s">
        <v>279</v>
      </c>
      <c r="B15" s="147"/>
      <c r="C15" s="15" t="s">
        <v>280</v>
      </c>
      <c r="D15" s="147" t="s">
        <v>281</v>
      </c>
      <c r="E15" s="15" t="s">
        <v>282</v>
      </c>
      <c r="F15" s="15" t="s">
        <v>283</v>
      </c>
      <c r="G15" s="15" t="s">
        <v>218</v>
      </c>
      <c r="H15" s="15" t="s">
        <v>241</v>
      </c>
      <c r="I15" s="15">
        <v>6</v>
      </c>
      <c r="J15" s="15" t="s">
        <v>220</v>
      </c>
      <c r="K15" s="15" t="s">
        <v>183</v>
      </c>
      <c r="L15" s="15" t="s">
        <v>220</v>
      </c>
      <c r="M15" s="15" t="s">
        <v>242</v>
      </c>
      <c r="N15" s="15" t="str">
        <f>'Service Id Table'!A22</f>
        <v>M000000021</v>
      </c>
      <c r="O15" s="15" t="s">
        <v>183</v>
      </c>
      <c r="P15" s="15" t="s">
        <v>220</v>
      </c>
      <c r="Q15" s="15" t="s">
        <v>284</v>
      </c>
      <c r="R15" s="15" t="str">
        <f>'Service Id Table'!A23</f>
        <v>M000000022</v>
      </c>
      <c r="S15" s="15"/>
      <c r="T15" s="15"/>
      <c r="U15" s="15"/>
      <c r="V15" s="15"/>
      <c r="W15" s="15"/>
      <c r="X15" s="15"/>
      <c r="Y15" s="15"/>
      <c r="Z15" s="15"/>
    </row>
    <row r="16" spans="1:26" ht="11.25">
      <c r="A16" s="15" t="s">
        <v>285</v>
      </c>
      <c r="B16" s="147"/>
      <c r="C16" s="15" t="s">
        <v>286</v>
      </c>
      <c r="D16" s="147" t="s">
        <v>216</v>
      </c>
      <c r="E16" s="15" t="s">
        <v>287</v>
      </c>
      <c r="F16" s="15" t="s">
        <v>216</v>
      </c>
      <c r="G16" s="15" t="s">
        <v>218</v>
      </c>
      <c r="H16" s="15" t="s">
        <v>219</v>
      </c>
      <c r="I16" s="15">
        <v>6</v>
      </c>
      <c r="J16" s="15" t="s">
        <v>220</v>
      </c>
      <c r="K16" s="15" t="s">
        <v>181</v>
      </c>
      <c r="L16" s="15" t="s">
        <v>220</v>
      </c>
      <c r="M16" s="15" t="s">
        <v>221</v>
      </c>
      <c r="N16" s="15" t="str">
        <f>'Service Id Table'!A24</f>
        <v>M000000023</v>
      </c>
      <c r="O16" s="15"/>
      <c r="P16" s="15"/>
      <c r="Q16" s="15"/>
      <c r="R16" s="15"/>
      <c r="S16" s="15"/>
      <c r="T16" s="15"/>
      <c r="U16" s="15"/>
      <c r="V16" s="15"/>
      <c r="W16" s="15"/>
      <c r="X16" s="15"/>
      <c r="Y16" s="15"/>
      <c r="Z16" s="15"/>
    </row>
    <row r="17" spans="1:26" ht="11.25">
      <c r="A17" s="15" t="s">
        <v>288</v>
      </c>
      <c r="B17" s="147"/>
      <c r="C17" s="15" t="s">
        <v>289</v>
      </c>
      <c r="D17" s="147" t="s">
        <v>216</v>
      </c>
      <c r="E17" s="15" t="s">
        <v>290</v>
      </c>
      <c r="F17" s="15" t="s">
        <v>216</v>
      </c>
      <c r="G17" s="15" t="s">
        <v>218</v>
      </c>
      <c r="H17" s="15" t="s">
        <v>219</v>
      </c>
      <c r="I17" s="15">
        <v>6</v>
      </c>
      <c r="J17" s="15" t="s">
        <v>220</v>
      </c>
      <c r="K17" s="15" t="s">
        <v>181</v>
      </c>
      <c r="L17" s="15" t="s">
        <v>220</v>
      </c>
      <c r="M17" s="15" t="s">
        <v>221</v>
      </c>
      <c r="N17" s="15" t="str">
        <f>'Service Id Table'!A26</f>
        <v>M000000025</v>
      </c>
      <c r="O17" s="15"/>
      <c r="P17" s="15"/>
      <c r="Q17" s="15"/>
      <c r="R17" s="15"/>
      <c r="S17" s="15"/>
      <c r="T17" s="15"/>
      <c r="U17" s="15"/>
      <c r="V17" s="15"/>
      <c r="W17" s="15"/>
      <c r="X17" s="15"/>
      <c r="Y17" s="15"/>
      <c r="Z17" s="15"/>
    </row>
    <row r="18" spans="1:26" ht="11.25">
      <c r="A18" s="15" t="s">
        <v>291</v>
      </c>
      <c r="B18" s="147"/>
      <c r="C18" s="15" t="s">
        <v>292</v>
      </c>
      <c r="D18" s="147" t="s">
        <v>216</v>
      </c>
      <c r="E18" s="15" t="s">
        <v>293</v>
      </c>
      <c r="F18" s="15" t="s">
        <v>216</v>
      </c>
      <c r="G18" s="15" t="s">
        <v>218</v>
      </c>
      <c r="H18" s="15" t="s">
        <v>219</v>
      </c>
      <c r="I18" s="15">
        <v>6</v>
      </c>
      <c r="J18" s="15" t="s">
        <v>220</v>
      </c>
      <c r="K18" s="15" t="s">
        <v>181</v>
      </c>
      <c r="L18" s="15" t="s">
        <v>220</v>
      </c>
      <c r="M18" s="15" t="s">
        <v>221</v>
      </c>
      <c r="N18" s="15" t="str">
        <f>'Service Id Table'!A28</f>
        <v>M000000027</v>
      </c>
      <c r="O18" s="15"/>
      <c r="P18" s="15"/>
      <c r="Q18" s="15"/>
      <c r="R18" s="15"/>
      <c r="S18" s="15"/>
      <c r="T18" s="15"/>
      <c r="U18" s="15"/>
      <c r="V18" s="15"/>
      <c r="W18" s="15"/>
      <c r="X18" s="15"/>
      <c r="Y18" s="15"/>
      <c r="Z18" s="15"/>
    </row>
    <row r="19" spans="1:26" ht="11.25">
      <c r="A19" s="15" t="s">
        <v>294</v>
      </c>
      <c r="B19" s="147"/>
      <c r="C19" s="15" t="s">
        <v>295</v>
      </c>
      <c r="D19" s="147" t="s">
        <v>216</v>
      </c>
      <c r="E19" s="15" t="s">
        <v>296</v>
      </c>
      <c r="F19" s="15" t="s">
        <v>216</v>
      </c>
      <c r="G19" s="15" t="s">
        <v>218</v>
      </c>
      <c r="H19" s="15" t="s">
        <v>241</v>
      </c>
      <c r="I19" s="15">
        <v>6</v>
      </c>
      <c r="J19" s="15" t="s">
        <v>186</v>
      </c>
      <c r="K19" s="15" t="s">
        <v>297</v>
      </c>
      <c r="L19" s="15" t="s">
        <v>220</v>
      </c>
      <c r="M19" s="15" t="s">
        <v>298</v>
      </c>
      <c r="N19" s="15" t="str">
        <f>'Service Id Table'!A30</f>
        <v>M000000029</v>
      </c>
      <c r="O19" s="15"/>
      <c r="P19" s="15"/>
      <c r="Q19" s="15"/>
      <c r="R19" s="15"/>
      <c r="S19" s="15"/>
      <c r="T19" s="15"/>
      <c r="U19" s="15"/>
      <c r="V19" s="15"/>
      <c r="W19" s="15"/>
      <c r="X19" s="15"/>
      <c r="Y19" s="15"/>
      <c r="Z19" s="15"/>
    </row>
    <row r="20" spans="1:26" ht="11.25">
      <c r="A20" s="15" t="s">
        <v>299</v>
      </c>
      <c r="B20" s="147" t="s">
        <v>300</v>
      </c>
      <c r="C20" s="15" t="s">
        <v>301</v>
      </c>
      <c r="D20" s="147" t="s">
        <v>302</v>
      </c>
      <c r="E20" s="15" t="s">
        <v>303</v>
      </c>
      <c r="F20" s="15" t="s">
        <v>216</v>
      </c>
      <c r="G20" s="15" t="s">
        <v>218</v>
      </c>
      <c r="H20" s="15" t="s">
        <v>241</v>
      </c>
      <c r="I20" s="15">
        <v>6</v>
      </c>
      <c r="J20" s="15" t="s">
        <v>186</v>
      </c>
      <c r="K20" s="15" t="s">
        <v>297</v>
      </c>
      <c r="L20" s="15" t="s">
        <v>186</v>
      </c>
      <c r="M20" s="15" t="s">
        <v>242</v>
      </c>
      <c r="N20" s="15" t="str">
        <f>'Service Id Table'!A32</f>
        <v>M000000031</v>
      </c>
      <c r="O20" s="15" t="s">
        <v>297</v>
      </c>
      <c r="P20" s="15" t="s">
        <v>186</v>
      </c>
      <c r="Q20" s="15" t="s">
        <v>243</v>
      </c>
      <c r="R20" s="15" t="str">
        <f>'Service Id Table'!A33</f>
        <v>M000000032</v>
      </c>
      <c r="S20" s="15"/>
      <c r="T20" s="15"/>
      <c r="U20" s="15"/>
      <c r="V20" s="15"/>
      <c r="W20" s="15"/>
      <c r="X20" s="15"/>
      <c r="Y20" s="15"/>
      <c r="Z20" s="15"/>
    </row>
    <row r="21" spans="1:26" ht="11.25">
      <c r="A21" s="15" t="s">
        <v>304</v>
      </c>
      <c r="B21" s="147"/>
      <c r="C21" s="15" t="s">
        <v>305</v>
      </c>
      <c r="D21" s="147" t="s">
        <v>306</v>
      </c>
      <c r="E21" s="15" t="s">
        <v>307</v>
      </c>
      <c r="F21" s="15" t="s">
        <v>216</v>
      </c>
      <c r="G21" s="15" t="s">
        <v>218</v>
      </c>
      <c r="H21" s="15" t="s">
        <v>241</v>
      </c>
      <c r="I21" s="15">
        <v>6</v>
      </c>
      <c r="J21" s="15" t="s">
        <v>186</v>
      </c>
      <c r="K21" s="15" t="s">
        <v>183</v>
      </c>
      <c r="L21" s="15" t="s">
        <v>220</v>
      </c>
      <c r="M21" s="15" t="s">
        <v>242</v>
      </c>
      <c r="N21" s="15" t="str">
        <f>'Service Id Table'!A34</f>
        <v>M000000033</v>
      </c>
      <c r="O21" s="15"/>
      <c r="P21" s="15"/>
      <c r="Q21" s="15"/>
      <c r="R21" s="15"/>
      <c r="S21" s="15"/>
      <c r="T21" s="15"/>
      <c r="U21" s="15"/>
      <c r="V21" s="15"/>
      <c r="W21" s="15"/>
      <c r="X21" s="15"/>
      <c r="Y21" s="15"/>
      <c r="Z21" s="15"/>
    </row>
    <row r="22" spans="1:26" ht="11.25">
      <c r="A22" s="15" t="s">
        <v>308</v>
      </c>
      <c r="B22" s="147"/>
      <c r="C22" s="15" t="s">
        <v>309</v>
      </c>
      <c r="D22" s="147" t="s">
        <v>310</v>
      </c>
      <c r="E22" s="15" t="s">
        <v>311</v>
      </c>
      <c r="F22" s="15" t="s">
        <v>216</v>
      </c>
      <c r="G22" s="15" t="s">
        <v>218</v>
      </c>
      <c r="H22" s="15" t="s">
        <v>241</v>
      </c>
      <c r="I22" s="15">
        <v>6</v>
      </c>
      <c r="J22" s="15" t="s">
        <v>186</v>
      </c>
      <c r="K22" s="15" t="s">
        <v>232</v>
      </c>
      <c r="L22" s="15" t="s">
        <v>220</v>
      </c>
      <c r="M22" s="17">
        <v>116</v>
      </c>
      <c r="N22" s="17" t="str">
        <f>'Service Id Table'!A47</f>
        <v>U000000003</v>
      </c>
      <c r="O22" s="15"/>
      <c r="P22" s="15"/>
      <c r="Q22" s="15"/>
      <c r="R22" s="15"/>
      <c r="S22" s="15"/>
      <c r="T22" s="15"/>
      <c r="U22" s="15"/>
      <c r="V22" s="15"/>
      <c r="W22" s="15"/>
      <c r="X22" s="15"/>
      <c r="Y22" s="15"/>
      <c r="Z22" s="15"/>
    </row>
    <row r="23" spans="1:26" ht="11.25">
      <c r="A23" s="15" t="s">
        <v>312</v>
      </c>
      <c r="B23" s="147"/>
      <c r="C23" s="15" t="s">
        <v>313</v>
      </c>
      <c r="D23" s="147" t="s">
        <v>216</v>
      </c>
      <c r="E23" s="15" t="s">
        <v>314</v>
      </c>
      <c r="F23" s="15" t="s">
        <v>216</v>
      </c>
      <c r="G23" s="15" t="s">
        <v>218</v>
      </c>
      <c r="H23" s="15" t="s">
        <v>219</v>
      </c>
      <c r="I23" s="15">
        <v>15</v>
      </c>
      <c r="J23" s="15" t="s">
        <v>220</v>
      </c>
      <c r="K23" s="15" t="s">
        <v>181</v>
      </c>
      <c r="L23" s="15" t="s">
        <v>220</v>
      </c>
      <c r="M23" s="15" t="s">
        <v>221</v>
      </c>
      <c r="N23" s="15" t="str">
        <f>'Service Id Table'!A37</f>
        <v>M000000036</v>
      </c>
      <c r="O23" s="15"/>
      <c r="P23" s="15"/>
      <c r="Q23" s="15"/>
      <c r="R23" s="15"/>
      <c r="S23" s="15"/>
      <c r="T23" s="15"/>
      <c r="U23" s="15"/>
      <c r="V23" s="15"/>
      <c r="W23" s="15"/>
      <c r="X23" s="15"/>
      <c r="Y23" s="15"/>
      <c r="Z23" s="15"/>
    </row>
    <row r="24" spans="1:26" ht="11.25">
      <c r="A24" s="15" t="s">
        <v>315</v>
      </c>
      <c r="B24" s="147"/>
      <c r="C24" s="15" t="s">
        <v>316</v>
      </c>
      <c r="D24" s="147" t="s">
        <v>216</v>
      </c>
      <c r="E24" s="15" t="s">
        <v>317</v>
      </c>
      <c r="F24" s="15" t="s">
        <v>216</v>
      </c>
      <c r="G24" s="15" t="s">
        <v>218</v>
      </c>
      <c r="H24" s="15" t="s">
        <v>219</v>
      </c>
      <c r="I24" s="15">
        <v>3</v>
      </c>
      <c r="J24" s="15" t="s">
        <v>220</v>
      </c>
      <c r="K24" s="15" t="s">
        <v>181</v>
      </c>
      <c r="L24" s="15" t="s">
        <v>220</v>
      </c>
      <c r="M24" s="15" t="s">
        <v>221</v>
      </c>
      <c r="N24" s="15" t="str">
        <f>'Service Id Table'!A38</f>
        <v>M000000037</v>
      </c>
      <c r="O24" s="15"/>
      <c r="P24" s="15"/>
      <c r="Q24" s="15"/>
      <c r="R24" s="15"/>
      <c r="S24" s="15"/>
      <c r="T24" s="15"/>
      <c r="U24" s="15"/>
      <c r="V24" s="15"/>
      <c r="W24" s="15"/>
      <c r="X24" s="15"/>
      <c r="Y24" s="15"/>
      <c r="Z24" s="15"/>
    </row>
    <row r="25" spans="1:26" ht="11.25">
      <c r="A25" s="15" t="s">
        <v>318</v>
      </c>
      <c r="B25" s="147"/>
      <c r="C25" s="15" t="s">
        <v>319</v>
      </c>
      <c r="D25" s="147" t="s">
        <v>216</v>
      </c>
      <c r="E25" s="15" t="s">
        <v>320</v>
      </c>
      <c r="F25" s="15" t="s">
        <v>216</v>
      </c>
      <c r="G25" s="15" t="s">
        <v>218</v>
      </c>
      <c r="H25" s="15" t="s">
        <v>219</v>
      </c>
      <c r="I25" s="15">
        <v>4</v>
      </c>
      <c r="J25" s="15" t="s">
        <v>220</v>
      </c>
      <c r="K25" s="15" t="s">
        <v>181</v>
      </c>
      <c r="L25" s="15" t="s">
        <v>220</v>
      </c>
      <c r="M25" s="15" t="s">
        <v>221</v>
      </c>
      <c r="N25" s="15" t="str">
        <f>'Service Id Table'!A39</f>
        <v>M000000038</v>
      </c>
      <c r="O25" s="15"/>
      <c r="P25" s="15"/>
      <c r="Q25" s="15"/>
      <c r="R25" s="15"/>
      <c r="S25" s="15"/>
      <c r="T25" s="15"/>
      <c r="U25" s="15"/>
      <c r="V25" s="15"/>
      <c r="W25" s="15"/>
      <c r="X25" s="15"/>
      <c r="Y25" s="15"/>
      <c r="Z25" s="15"/>
    </row>
    <row r="26" spans="1:26" ht="11.25">
      <c r="A26" s="15" t="s">
        <v>321</v>
      </c>
      <c r="B26" s="147"/>
      <c r="C26" s="15" t="s">
        <v>322</v>
      </c>
      <c r="D26" s="147" t="s">
        <v>216</v>
      </c>
      <c r="E26" s="15" t="s">
        <v>323</v>
      </c>
      <c r="F26" s="15" t="s">
        <v>216</v>
      </c>
      <c r="G26" s="15" t="s">
        <v>218</v>
      </c>
      <c r="H26" s="15" t="s">
        <v>219</v>
      </c>
      <c r="I26" s="15">
        <v>5</v>
      </c>
      <c r="J26" s="15" t="s">
        <v>220</v>
      </c>
      <c r="K26" s="15" t="s">
        <v>181</v>
      </c>
      <c r="L26" s="15" t="s">
        <v>220</v>
      </c>
      <c r="M26" s="15" t="s">
        <v>221</v>
      </c>
      <c r="N26" s="15" t="str">
        <f>'Service Id Table'!A40</f>
        <v>M000000039</v>
      </c>
      <c r="O26" s="15"/>
      <c r="P26" s="15"/>
      <c r="Q26" s="15"/>
      <c r="R26" s="15"/>
      <c r="S26" s="15"/>
      <c r="T26" s="15"/>
      <c r="U26" s="15"/>
      <c r="V26" s="15"/>
      <c r="W26" s="15"/>
      <c r="X26" s="15"/>
      <c r="Y26" s="15"/>
      <c r="Z26" s="15"/>
    </row>
    <row r="27" spans="1:26" ht="11.25">
      <c r="A27" s="15" t="s">
        <v>324</v>
      </c>
      <c r="B27" s="147"/>
      <c r="C27" s="15" t="s">
        <v>325</v>
      </c>
      <c r="D27" s="147" t="s">
        <v>216</v>
      </c>
      <c r="E27" s="15" t="s">
        <v>326</v>
      </c>
      <c r="F27" s="15" t="s">
        <v>216</v>
      </c>
      <c r="G27" s="15" t="s">
        <v>218</v>
      </c>
      <c r="H27" s="15" t="s">
        <v>219</v>
      </c>
      <c r="I27" s="15">
        <v>6</v>
      </c>
      <c r="J27" s="15" t="s">
        <v>220</v>
      </c>
      <c r="K27" s="15" t="s">
        <v>181</v>
      </c>
      <c r="L27" s="15" t="s">
        <v>220</v>
      </c>
      <c r="M27" s="15" t="s">
        <v>221</v>
      </c>
      <c r="N27" s="15" t="str">
        <f>'Service Id Table'!A41</f>
        <v>M000000040</v>
      </c>
      <c r="O27" s="15"/>
      <c r="P27" s="15"/>
      <c r="Q27" s="15"/>
      <c r="R27" s="15"/>
      <c r="S27" s="15"/>
      <c r="T27" s="15"/>
      <c r="U27" s="15"/>
      <c r="V27" s="15"/>
      <c r="W27" s="15"/>
      <c r="X27" s="15"/>
      <c r="Y27" s="15"/>
      <c r="Z27" s="15"/>
    </row>
    <row r="28" spans="1:26" ht="11.25">
      <c r="A28" s="15" t="s">
        <v>327</v>
      </c>
      <c r="B28" s="147"/>
      <c r="C28" s="15" t="s">
        <v>328</v>
      </c>
      <c r="D28" s="147" t="s">
        <v>216</v>
      </c>
      <c r="E28" s="15" t="s">
        <v>329</v>
      </c>
      <c r="F28" s="15" t="s">
        <v>216</v>
      </c>
      <c r="G28" s="15" t="s">
        <v>218</v>
      </c>
      <c r="H28" s="15" t="s">
        <v>219</v>
      </c>
      <c r="I28" s="15">
        <v>7</v>
      </c>
      <c r="J28" s="15" t="s">
        <v>220</v>
      </c>
      <c r="K28" s="15" t="s">
        <v>181</v>
      </c>
      <c r="L28" s="15" t="s">
        <v>220</v>
      </c>
      <c r="M28" s="15" t="s">
        <v>221</v>
      </c>
      <c r="N28" s="15" t="str">
        <f>'Service Id Table'!A42</f>
        <v>M000000041</v>
      </c>
      <c r="O28" s="15"/>
      <c r="P28" s="15"/>
      <c r="Q28" s="15"/>
      <c r="R28" s="15"/>
      <c r="S28" s="15"/>
      <c r="T28" s="15"/>
      <c r="U28" s="15"/>
      <c r="V28" s="15"/>
      <c r="W28" s="15"/>
      <c r="X28" s="15"/>
      <c r="Y28" s="15"/>
      <c r="Z28" s="15"/>
    </row>
  </sheetData>
  <printOptions/>
  <pageMargins left="0.75" right="0.75" top="1" bottom="1" header="0.5" footer="0.5"/>
  <pageSetup fitToHeight="3" fitToWidth="1" horizontalDpi="600" verticalDpi="600" orientation="landscape" scale="73" r:id="rId1"/>
  <headerFooter alignWithMargins="0">
    <oddHeader>&amp;CEBT Test Conditions
&amp;A</oddHeader>
    <oddFooter>&amp;LVersion 5.0&amp;CPage &amp;P&amp;RIssued:  June 25, 1999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9"/>
  <sheetViews>
    <sheetView workbookViewId="0" topLeftCell="A1">
      <selection activeCell="D7" sqref="D7"/>
      <selection activeCell="D7" sqref="D7"/>
    </sheetView>
  </sheetViews>
  <sheetFormatPr defaultColWidth="9.140625" defaultRowHeight="12.75"/>
  <cols>
    <col min="1" max="1" width="8.8515625" style="59" customWidth="1"/>
    <col min="2" max="2" width="11.28125" style="62" customWidth="1"/>
    <col min="3" max="3" width="11.28125" style="10" customWidth="1"/>
    <col min="4" max="16384" width="8.8515625" style="10" customWidth="1"/>
  </cols>
  <sheetData>
    <row r="1" spans="1:2" ht="11.25">
      <c r="A1" s="104" t="s">
        <v>330</v>
      </c>
      <c r="B1" s="105" t="s">
        <v>331</v>
      </c>
    </row>
    <row r="2" spans="1:2" ht="11.25">
      <c r="A2" s="41" t="s">
        <v>332</v>
      </c>
      <c r="B2" s="181">
        <f>B10</f>
        <v>35978</v>
      </c>
    </row>
    <row r="3" spans="1:2" ht="11.25">
      <c r="A3" s="41" t="s">
        <v>333</v>
      </c>
      <c r="B3" s="181">
        <f>B11</f>
        <v>35979</v>
      </c>
    </row>
    <row r="4" spans="1:2" ht="11.25">
      <c r="A4" s="41" t="s">
        <v>64</v>
      </c>
      <c r="B4" s="181">
        <f>B3</f>
        <v>35979</v>
      </c>
    </row>
    <row r="5" spans="1:2" ht="11.25">
      <c r="A5" s="41" t="s">
        <v>50</v>
      </c>
      <c r="B5" s="181">
        <f>B12</f>
        <v>35982</v>
      </c>
    </row>
    <row r="6" spans="1:2" ht="11.25">
      <c r="A6" s="41" t="s">
        <v>334</v>
      </c>
      <c r="B6" s="181">
        <f>B35</f>
        <v>36013</v>
      </c>
    </row>
    <row r="7" spans="1:2" ht="11.25">
      <c r="A7" s="41" t="s">
        <v>124</v>
      </c>
      <c r="B7" s="181">
        <f>B46</f>
        <v>36028</v>
      </c>
    </row>
    <row r="8" spans="1:2" s="95" customFormat="1" ht="11.25">
      <c r="A8" s="106"/>
      <c r="B8" s="107"/>
    </row>
    <row r="9" spans="1:3" ht="12" thickBot="1">
      <c r="A9" s="24" t="s">
        <v>335</v>
      </c>
      <c r="B9" s="61" t="s">
        <v>336</v>
      </c>
      <c r="C9" s="24" t="s">
        <v>337</v>
      </c>
    </row>
    <row r="10" spans="1:14" ht="12" thickBot="1">
      <c r="A10" s="59">
        <v>1</v>
      </c>
      <c r="B10" s="217">
        <v>35978</v>
      </c>
      <c r="C10" s="10" t="str">
        <f>INDEX($N$10:$N$16,WEEKDAY(B10),1)</f>
        <v>Thursday</v>
      </c>
      <c r="D10" s="10" t="s">
        <v>338</v>
      </c>
      <c r="N10" s="10" t="s">
        <v>339</v>
      </c>
    </row>
    <row r="11" spans="1:14" ht="11.25">
      <c r="A11" s="59">
        <v>2</v>
      </c>
      <c r="B11" s="216">
        <f>IF((WEEKDAY(B10+1,1))&lt;7,B10+1,B10+3)</f>
        <v>35979</v>
      </c>
      <c r="C11" s="10" t="str">
        <f aca="true" t="shared" si="0" ref="C11:C25">INDEX($N$10:$N$16,WEEKDAY(B11),1)</f>
        <v>Friday</v>
      </c>
      <c r="D11" s="10" t="s">
        <v>340</v>
      </c>
      <c r="N11" s="10" t="s">
        <v>341</v>
      </c>
    </row>
    <row r="12" spans="1:14" ht="11.25">
      <c r="A12" s="59">
        <v>3</v>
      </c>
      <c r="B12" s="216">
        <f aca="true" t="shared" si="1" ref="B12:B27">IF((WEEKDAY(B11+1,1))&lt;7,B11+1,B11+3)</f>
        <v>35982</v>
      </c>
      <c r="C12" s="10" t="str">
        <f t="shared" si="0"/>
        <v>Monday</v>
      </c>
      <c r="D12" s="10" t="s">
        <v>342</v>
      </c>
      <c r="N12" s="10" t="s">
        <v>343</v>
      </c>
    </row>
    <row r="13" spans="1:14" ht="11.25">
      <c r="A13" s="59">
        <v>4</v>
      </c>
      <c r="B13" s="216">
        <f t="shared" si="1"/>
        <v>35983</v>
      </c>
      <c r="C13" s="10" t="str">
        <f t="shared" si="0"/>
        <v>Tuesday</v>
      </c>
      <c r="D13" s="10" t="s">
        <v>344</v>
      </c>
      <c r="N13" s="10" t="s">
        <v>345</v>
      </c>
    </row>
    <row r="14" spans="1:14" ht="11.25">
      <c r="A14" s="59">
        <v>5</v>
      </c>
      <c r="B14" s="216">
        <f t="shared" si="1"/>
        <v>35984</v>
      </c>
      <c r="C14" s="10" t="str">
        <f t="shared" si="0"/>
        <v>Wednesday</v>
      </c>
      <c r="N14" s="10" t="s">
        <v>346</v>
      </c>
    </row>
    <row r="15" spans="1:14" ht="11.25">
      <c r="A15" s="59">
        <v>6</v>
      </c>
      <c r="B15" s="216">
        <f t="shared" si="1"/>
        <v>35985</v>
      </c>
      <c r="C15" s="10" t="str">
        <f t="shared" si="0"/>
        <v>Thursday</v>
      </c>
      <c r="N15" s="10" t="s">
        <v>347</v>
      </c>
    </row>
    <row r="16" spans="1:14" ht="11.25">
      <c r="A16" s="59">
        <v>7</v>
      </c>
      <c r="B16" s="216">
        <f t="shared" si="1"/>
        <v>35986</v>
      </c>
      <c r="C16" s="10" t="str">
        <f t="shared" si="0"/>
        <v>Friday</v>
      </c>
      <c r="N16" s="10" t="s">
        <v>348</v>
      </c>
    </row>
    <row r="17" spans="1:3" ht="11.25">
      <c r="A17" s="59">
        <v>8</v>
      </c>
      <c r="B17" s="216">
        <f t="shared" si="1"/>
        <v>35989</v>
      </c>
      <c r="C17" s="10" t="str">
        <f t="shared" si="0"/>
        <v>Monday</v>
      </c>
    </row>
    <row r="18" spans="1:3" ht="11.25">
      <c r="A18" s="59">
        <v>9</v>
      </c>
      <c r="B18" s="216">
        <f t="shared" si="1"/>
        <v>35990</v>
      </c>
      <c r="C18" s="10" t="str">
        <f t="shared" si="0"/>
        <v>Tuesday</v>
      </c>
    </row>
    <row r="19" spans="1:3" ht="11.25">
      <c r="A19" s="59">
        <v>10</v>
      </c>
      <c r="B19" s="216">
        <f t="shared" si="1"/>
        <v>35991</v>
      </c>
      <c r="C19" s="10" t="str">
        <f t="shared" si="0"/>
        <v>Wednesday</v>
      </c>
    </row>
    <row r="20" spans="1:3" ht="11.25">
      <c r="A20" s="59">
        <v>11</v>
      </c>
      <c r="B20" s="216">
        <f t="shared" si="1"/>
        <v>35992</v>
      </c>
      <c r="C20" s="10" t="str">
        <f t="shared" si="0"/>
        <v>Thursday</v>
      </c>
    </row>
    <row r="21" spans="1:3" ht="11.25">
      <c r="A21" s="59">
        <v>12</v>
      </c>
      <c r="B21" s="216">
        <f t="shared" si="1"/>
        <v>35993</v>
      </c>
      <c r="C21" s="10" t="str">
        <f t="shared" si="0"/>
        <v>Friday</v>
      </c>
    </row>
    <row r="22" spans="1:3" ht="11.25">
      <c r="A22" s="59">
        <v>13</v>
      </c>
      <c r="B22" s="216">
        <f t="shared" si="1"/>
        <v>35996</v>
      </c>
      <c r="C22" s="10" t="str">
        <f t="shared" si="0"/>
        <v>Monday</v>
      </c>
    </row>
    <row r="23" spans="1:3" ht="11.25">
      <c r="A23" s="59">
        <v>14</v>
      </c>
      <c r="B23" s="216">
        <f t="shared" si="1"/>
        <v>35997</v>
      </c>
      <c r="C23" s="10" t="str">
        <f t="shared" si="0"/>
        <v>Tuesday</v>
      </c>
    </row>
    <row r="24" spans="1:3" ht="11.25">
      <c r="A24" s="59">
        <v>15</v>
      </c>
      <c r="B24" s="216">
        <f t="shared" si="1"/>
        <v>35998</v>
      </c>
      <c r="C24" s="10" t="str">
        <f t="shared" si="0"/>
        <v>Wednesday</v>
      </c>
    </row>
    <row r="25" spans="1:3" ht="11.25">
      <c r="A25" s="59">
        <v>16</v>
      </c>
      <c r="B25" s="216">
        <f t="shared" si="1"/>
        <v>35999</v>
      </c>
      <c r="C25" s="10" t="str">
        <f t="shared" si="0"/>
        <v>Thursday</v>
      </c>
    </row>
    <row r="26" spans="1:3" ht="11.25">
      <c r="A26" s="59">
        <v>17</v>
      </c>
      <c r="B26" s="216">
        <f t="shared" si="1"/>
        <v>36000</v>
      </c>
      <c r="C26" s="10" t="str">
        <f aca="true" t="shared" si="2" ref="C26:C35">INDEX($N$10:$N$16,WEEKDAY(B26),1)</f>
        <v>Friday</v>
      </c>
    </row>
    <row r="27" spans="1:3" ht="11.25">
      <c r="A27" s="59">
        <v>18</v>
      </c>
      <c r="B27" s="216">
        <f t="shared" si="1"/>
        <v>36003</v>
      </c>
      <c r="C27" s="10" t="str">
        <f t="shared" si="2"/>
        <v>Monday</v>
      </c>
    </row>
    <row r="28" spans="1:3" ht="11.25">
      <c r="A28" s="59">
        <v>19</v>
      </c>
      <c r="B28" s="216">
        <f aca="true" t="shared" si="3" ref="B28:B43">IF((WEEKDAY(B27+1,1))&lt;7,B27+1,B27+3)</f>
        <v>36004</v>
      </c>
      <c r="C28" s="10" t="str">
        <f t="shared" si="2"/>
        <v>Tuesday</v>
      </c>
    </row>
    <row r="29" spans="1:3" ht="11.25">
      <c r="A29" s="59">
        <v>20</v>
      </c>
      <c r="B29" s="216">
        <f t="shared" si="3"/>
        <v>36005</v>
      </c>
      <c r="C29" s="10" t="str">
        <f t="shared" si="2"/>
        <v>Wednesday</v>
      </c>
    </row>
    <row r="30" spans="1:3" ht="11.25">
      <c r="A30" s="59">
        <v>1</v>
      </c>
      <c r="B30" s="216">
        <f t="shared" si="3"/>
        <v>36006</v>
      </c>
      <c r="C30" s="10" t="str">
        <f t="shared" si="2"/>
        <v>Thursday</v>
      </c>
    </row>
    <row r="31" spans="1:3" ht="11.25">
      <c r="A31" s="59">
        <v>2</v>
      </c>
      <c r="B31" s="216">
        <f t="shared" si="3"/>
        <v>36007</v>
      </c>
      <c r="C31" s="10" t="str">
        <f t="shared" si="2"/>
        <v>Friday</v>
      </c>
    </row>
    <row r="32" spans="1:3" ht="11.25">
      <c r="A32" s="59">
        <v>3</v>
      </c>
      <c r="B32" s="216">
        <f t="shared" si="3"/>
        <v>36010</v>
      </c>
      <c r="C32" s="10" t="str">
        <f t="shared" si="2"/>
        <v>Monday</v>
      </c>
    </row>
    <row r="33" spans="1:3" ht="11.25">
      <c r="A33" s="59">
        <v>4</v>
      </c>
      <c r="B33" s="216">
        <f t="shared" si="3"/>
        <v>36011</v>
      </c>
      <c r="C33" s="10" t="str">
        <f t="shared" si="2"/>
        <v>Tuesday</v>
      </c>
    </row>
    <row r="34" spans="1:3" ht="11.25">
      <c r="A34" s="59">
        <v>5</v>
      </c>
      <c r="B34" s="216">
        <f t="shared" si="3"/>
        <v>36012</v>
      </c>
      <c r="C34" s="10" t="str">
        <f t="shared" si="2"/>
        <v>Wednesday</v>
      </c>
    </row>
    <row r="35" spans="1:3" ht="11.25">
      <c r="A35" s="59">
        <v>6</v>
      </c>
      <c r="B35" s="216">
        <f t="shared" si="3"/>
        <v>36013</v>
      </c>
      <c r="C35" s="10" t="str">
        <f t="shared" si="2"/>
        <v>Thursday</v>
      </c>
    </row>
    <row r="36" spans="1:3" ht="11.25">
      <c r="A36" s="59">
        <v>7</v>
      </c>
      <c r="B36" s="216">
        <f t="shared" si="3"/>
        <v>36014</v>
      </c>
      <c r="C36" s="10" t="str">
        <f>INDEX($N$10:$N$16,WEEKDAY(B36),1)</f>
        <v>Friday</v>
      </c>
    </row>
    <row r="37" spans="1:3" ht="11.25">
      <c r="A37" s="59">
        <v>8</v>
      </c>
      <c r="B37" s="216">
        <f t="shared" si="3"/>
        <v>36017</v>
      </c>
      <c r="C37" s="10" t="str">
        <f>INDEX($N$10:$N$16,WEEKDAY(B37),1)</f>
        <v>Monday</v>
      </c>
    </row>
    <row r="38" spans="1:3" ht="11.25">
      <c r="A38" s="59">
        <v>9</v>
      </c>
      <c r="B38" s="216">
        <f t="shared" si="3"/>
        <v>36018</v>
      </c>
      <c r="C38" s="10" t="str">
        <f>INDEX($N$10:$N$16,WEEKDAY(B38),1)</f>
        <v>Tuesday</v>
      </c>
    </row>
    <row r="39" spans="1:3" ht="11.25">
      <c r="A39" s="59">
        <v>10</v>
      </c>
      <c r="B39" s="216">
        <f t="shared" si="3"/>
        <v>36019</v>
      </c>
      <c r="C39" s="10" t="str">
        <f>INDEX($N$10:$N$16,WEEKDAY(B39),1)</f>
        <v>Wednesday</v>
      </c>
    </row>
    <row r="40" spans="1:3" ht="11.25">
      <c r="A40" s="59">
        <v>11</v>
      </c>
      <c r="B40" s="216">
        <f t="shared" si="3"/>
        <v>36020</v>
      </c>
      <c r="C40" s="10" t="str">
        <f aca="true" t="shared" si="4" ref="C40:C47">INDEX($N$10:$N$16,WEEKDAY(B40),1)</f>
        <v>Thursday</v>
      </c>
    </row>
    <row r="41" spans="1:3" ht="11.25">
      <c r="A41" s="59">
        <v>12</v>
      </c>
      <c r="B41" s="216">
        <f t="shared" si="3"/>
        <v>36021</v>
      </c>
      <c r="C41" s="10" t="str">
        <f t="shared" si="4"/>
        <v>Friday</v>
      </c>
    </row>
    <row r="42" spans="1:3" ht="11.25">
      <c r="A42" s="59">
        <v>13</v>
      </c>
      <c r="B42" s="216">
        <f t="shared" si="3"/>
        <v>36024</v>
      </c>
      <c r="C42" s="10" t="str">
        <f t="shared" si="4"/>
        <v>Monday</v>
      </c>
    </row>
    <row r="43" spans="1:3" ht="11.25">
      <c r="A43" s="59">
        <v>14</v>
      </c>
      <c r="B43" s="216">
        <f t="shared" si="3"/>
        <v>36025</v>
      </c>
      <c r="C43" s="10" t="str">
        <f t="shared" si="4"/>
        <v>Tuesday</v>
      </c>
    </row>
    <row r="44" spans="1:3" ht="11.25">
      <c r="A44" s="59">
        <v>15</v>
      </c>
      <c r="B44" s="216">
        <f aca="true" t="shared" si="5" ref="B44:B59">IF((WEEKDAY(B43+1,1))&lt;7,B43+1,B43+3)</f>
        <v>36026</v>
      </c>
      <c r="C44" s="10" t="str">
        <f t="shared" si="4"/>
        <v>Wednesday</v>
      </c>
    </row>
    <row r="45" spans="1:3" ht="11.25">
      <c r="A45" s="59">
        <v>16</v>
      </c>
      <c r="B45" s="216">
        <f t="shared" si="5"/>
        <v>36027</v>
      </c>
      <c r="C45" s="10" t="str">
        <f t="shared" si="4"/>
        <v>Thursday</v>
      </c>
    </row>
    <row r="46" spans="1:3" ht="11.25">
      <c r="A46" s="59">
        <v>17</v>
      </c>
      <c r="B46" s="216">
        <f t="shared" si="5"/>
        <v>36028</v>
      </c>
      <c r="C46" s="10" t="str">
        <f t="shared" si="4"/>
        <v>Friday</v>
      </c>
    </row>
    <row r="47" spans="1:3" ht="11.25">
      <c r="A47" s="59">
        <v>18</v>
      </c>
      <c r="B47" s="216">
        <f t="shared" si="5"/>
        <v>36031</v>
      </c>
      <c r="C47" s="10" t="str">
        <f t="shared" si="4"/>
        <v>Monday</v>
      </c>
    </row>
    <row r="48" spans="1:3" ht="11.25">
      <c r="A48" s="59">
        <v>19</v>
      </c>
      <c r="B48" s="216">
        <f t="shared" si="5"/>
        <v>36032</v>
      </c>
      <c r="C48" s="10" t="str">
        <f>INDEX($N$10:$N$16,WEEKDAY(B48),1)</f>
        <v>Tuesday</v>
      </c>
    </row>
    <row r="49" spans="1:3" ht="11.25">
      <c r="A49" s="59">
        <v>20</v>
      </c>
      <c r="B49" s="216">
        <f t="shared" si="5"/>
        <v>36033</v>
      </c>
      <c r="C49" s="10" t="str">
        <f>INDEX($N$10:$N$16,WEEKDAY(B49),1)</f>
        <v>Wednesday</v>
      </c>
    </row>
    <row r="50" spans="1:3" ht="11.25">
      <c r="A50" s="59">
        <v>1</v>
      </c>
      <c r="B50" s="216">
        <f t="shared" si="5"/>
        <v>36034</v>
      </c>
      <c r="C50" s="10" t="str">
        <f aca="true" t="shared" si="6" ref="C50:C67">INDEX($N$10:$N$16,WEEKDAY(B50),1)</f>
        <v>Thursday</v>
      </c>
    </row>
    <row r="51" spans="1:3" ht="11.25">
      <c r="A51" s="59">
        <v>2</v>
      </c>
      <c r="B51" s="216">
        <f t="shared" si="5"/>
        <v>36035</v>
      </c>
      <c r="C51" s="10" t="str">
        <f t="shared" si="6"/>
        <v>Friday</v>
      </c>
    </row>
    <row r="52" spans="1:3" ht="11.25">
      <c r="A52" s="59">
        <v>3</v>
      </c>
      <c r="B52" s="216">
        <f t="shared" si="5"/>
        <v>36038</v>
      </c>
      <c r="C52" s="10" t="str">
        <f t="shared" si="6"/>
        <v>Monday</v>
      </c>
    </row>
    <row r="53" spans="1:3" ht="11.25">
      <c r="A53" s="59">
        <v>4</v>
      </c>
      <c r="B53" s="216">
        <f t="shared" si="5"/>
        <v>36039</v>
      </c>
      <c r="C53" s="10" t="str">
        <f t="shared" si="6"/>
        <v>Tuesday</v>
      </c>
    </row>
    <row r="54" spans="1:3" ht="11.25">
      <c r="A54" s="59">
        <v>5</v>
      </c>
      <c r="B54" s="216">
        <f t="shared" si="5"/>
        <v>36040</v>
      </c>
      <c r="C54" s="10" t="str">
        <f t="shared" si="6"/>
        <v>Wednesday</v>
      </c>
    </row>
    <row r="55" spans="1:3" ht="11.25">
      <c r="A55" s="59">
        <v>6</v>
      </c>
      <c r="B55" s="216">
        <f t="shared" si="5"/>
        <v>36041</v>
      </c>
      <c r="C55" s="10" t="str">
        <f t="shared" si="6"/>
        <v>Thursday</v>
      </c>
    </row>
    <row r="56" spans="1:3" ht="11.25">
      <c r="A56" s="59">
        <v>7</v>
      </c>
      <c r="B56" s="216">
        <f t="shared" si="5"/>
        <v>36042</v>
      </c>
      <c r="C56" s="10" t="str">
        <f t="shared" si="6"/>
        <v>Friday</v>
      </c>
    </row>
    <row r="57" spans="1:3" ht="11.25">
      <c r="A57" s="59">
        <v>8</v>
      </c>
      <c r="B57" s="216">
        <f t="shared" si="5"/>
        <v>36045</v>
      </c>
      <c r="C57" s="10" t="str">
        <f t="shared" si="6"/>
        <v>Monday</v>
      </c>
    </row>
    <row r="58" spans="1:3" ht="11.25">
      <c r="A58" s="59">
        <v>9</v>
      </c>
      <c r="B58" s="216">
        <f t="shared" si="5"/>
        <v>36046</v>
      </c>
      <c r="C58" s="10" t="str">
        <f t="shared" si="6"/>
        <v>Tuesday</v>
      </c>
    </row>
    <row r="59" spans="1:3" ht="11.25">
      <c r="A59" s="59">
        <v>10</v>
      </c>
      <c r="B59" s="216">
        <f t="shared" si="5"/>
        <v>36047</v>
      </c>
      <c r="C59" s="10" t="str">
        <f t="shared" si="6"/>
        <v>Wednesday</v>
      </c>
    </row>
    <row r="60" spans="1:3" ht="11.25">
      <c r="A60" s="59">
        <v>11</v>
      </c>
      <c r="B60" s="216">
        <f aca="true" t="shared" si="7" ref="B60:B69">IF((WEEKDAY(B59+1,1))&lt;7,B59+1,B59+3)</f>
        <v>36048</v>
      </c>
      <c r="C60" s="10" t="str">
        <f t="shared" si="6"/>
        <v>Thursday</v>
      </c>
    </row>
    <row r="61" spans="1:3" ht="11.25">
      <c r="A61" s="59">
        <v>12</v>
      </c>
      <c r="B61" s="216">
        <f t="shared" si="7"/>
        <v>36049</v>
      </c>
      <c r="C61" s="10" t="str">
        <f t="shared" si="6"/>
        <v>Friday</v>
      </c>
    </row>
    <row r="62" spans="1:3" ht="11.25">
      <c r="A62" s="59">
        <v>13</v>
      </c>
      <c r="B62" s="216">
        <f t="shared" si="7"/>
        <v>36052</v>
      </c>
      <c r="C62" s="10" t="str">
        <f t="shared" si="6"/>
        <v>Monday</v>
      </c>
    </row>
    <row r="63" spans="1:3" ht="11.25">
      <c r="A63" s="59">
        <v>14</v>
      </c>
      <c r="B63" s="216">
        <f t="shared" si="7"/>
        <v>36053</v>
      </c>
      <c r="C63" s="10" t="str">
        <f t="shared" si="6"/>
        <v>Tuesday</v>
      </c>
    </row>
    <row r="64" spans="1:3" ht="11.25">
      <c r="A64" s="59">
        <v>15</v>
      </c>
      <c r="B64" s="216">
        <f t="shared" si="7"/>
        <v>36054</v>
      </c>
      <c r="C64" s="10" t="str">
        <f t="shared" si="6"/>
        <v>Wednesday</v>
      </c>
    </row>
    <row r="65" spans="1:3" ht="11.25">
      <c r="A65" s="59">
        <v>16</v>
      </c>
      <c r="B65" s="216">
        <f t="shared" si="7"/>
        <v>36055</v>
      </c>
      <c r="C65" s="10" t="str">
        <f t="shared" si="6"/>
        <v>Thursday</v>
      </c>
    </row>
    <row r="66" spans="1:3" ht="11.25">
      <c r="A66" s="59">
        <v>17</v>
      </c>
      <c r="B66" s="216">
        <f t="shared" si="7"/>
        <v>36056</v>
      </c>
      <c r="C66" s="10" t="str">
        <f t="shared" si="6"/>
        <v>Friday</v>
      </c>
    </row>
    <row r="67" spans="1:3" ht="11.25">
      <c r="A67" s="59">
        <v>18</v>
      </c>
      <c r="B67" s="216">
        <f t="shared" si="7"/>
        <v>36059</v>
      </c>
      <c r="C67" s="10" t="str">
        <f t="shared" si="6"/>
        <v>Monday</v>
      </c>
    </row>
    <row r="68" spans="1:3" ht="11.25">
      <c r="A68" s="59">
        <v>19</v>
      </c>
      <c r="B68" s="216">
        <f t="shared" si="7"/>
        <v>36060</v>
      </c>
      <c r="C68" s="10" t="str">
        <f>INDEX($N$10:$N$16,WEEKDAY(B68),1)</f>
        <v>Tuesday</v>
      </c>
    </row>
    <row r="69" spans="1:3" ht="11.25">
      <c r="A69" s="59">
        <v>20</v>
      </c>
      <c r="B69" s="216">
        <f t="shared" si="7"/>
        <v>36061</v>
      </c>
      <c r="C69" s="10" t="str">
        <f>INDEX($N$10:$N$16,WEEKDAY(B69),1)</f>
        <v>Wednesday</v>
      </c>
    </row>
  </sheetData>
  <printOptions/>
  <pageMargins left="0.75" right="0.75" top="1" bottom="1" header="0.5" footer="0.5"/>
  <pageSetup fitToHeight="3" fitToWidth="1" horizontalDpi="600" verticalDpi="600" orientation="landscape" r:id="rId1"/>
  <headerFooter alignWithMargins="0">
    <oddHeader>&amp;CEBT Test Conditions
&amp;A</oddHeader>
    <oddFooter>&amp;LVersion 5.0&amp;CPage &amp;P&amp;RIssued:  June 25, 1999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1"/>
  <sheetViews>
    <sheetView workbookViewId="0" topLeftCell="A1">
      <selection activeCell="D7" sqref="D7"/>
      <selection activeCell="C1" sqref="C1"/>
    </sheetView>
  </sheetViews>
  <sheetFormatPr defaultColWidth="9.140625" defaultRowHeight="12.75"/>
  <cols>
    <col min="1" max="1" width="9.7109375" style="10" customWidth="1"/>
    <col min="2" max="16384" width="8.8515625" style="10" customWidth="1"/>
  </cols>
  <sheetData>
    <row r="1" spans="1:12" s="92" customFormat="1" ht="33.75">
      <c r="A1" s="91" t="s">
        <v>349</v>
      </c>
      <c r="B1" s="90" t="s">
        <v>350</v>
      </c>
      <c r="C1" s="91" t="s">
        <v>351</v>
      </c>
      <c r="D1" s="91" t="s">
        <v>352</v>
      </c>
      <c r="E1" s="91" t="s">
        <v>353</v>
      </c>
      <c r="F1" s="91" t="s">
        <v>354</v>
      </c>
      <c r="G1" s="91" t="s">
        <v>355</v>
      </c>
      <c r="H1" s="91" t="s">
        <v>356</v>
      </c>
      <c r="I1" s="91" t="s">
        <v>357</v>
      </c>
      <c r="J1" s="91" t="s">
        <v>358</v>
      </c>
      <c r="K1" s="91" t="s">
        <v>359</v>
      </c>
      <c r="L1" s="91" t="s">
        <v>360</v>
      </c>
    </row>
    <row r="2" spans="1:12" ht="11.25">
      <c r="A2" s="1" t="str">
        <f aca="true" t="shared" si="0" ref="A2:A7">CONCATENATE(B2,C2)</f>
        <v>G00G000001</v>
      </c>
      <c r="B2" s="1" t="s">
        <v>361</v>
      </c>
      <c r="C2" s="1" t="s">
        <v>362</v>
      </c>
      <c r="D2" s="94">
        <v>0.02</v>
      </c>
      <c r="E2" s="94">
        <v>1</v>
      </c>
      <c r="F2" s="94">
        <v>0</v>
      </c>
      <c r="G2" s="94">
        <v>0</v>
      </c>
      <c r="H2" s="94">
        <v>0</v>
      </c>
      <c r="I2" s="94">
        <v>0</v>
      </c>
      <c r="J2" s="94">
        <v>0</v>
      </c>
      <c r="K2" s="94">
        <v>0</v>
      </c>
      <c r="L2" s="94">
        <v>0</v>
      </c>
    </row>
    <row r="3" spans="1:12" ht="11.25">
      <c r="A3" s="1" t="str">
        <f t="shared" si="0"/>
        <v>R01R000001</v>
      </c>
      <c r="B3" s="1" t="s">
        <v>363</v>
      </c>
      <c r="C3" s="1" t="s">
        <v>364</v>
      </c>
      <c r="D3" s="94">
        <v>0.028</v>
      </c>
      <c r="E3" s="94">
        <v>0</v>
      </c>
      <c r="F3" s="94">
        <v>0</v>
      </c>
      <c r="G3" s="94">
        <v>0</v>
      </c>
      <c r="H3" s="94">
        <v>0</v>
      </c>
      <c r="I3" s="94">
        <v>0</v>
      </c>
      <c r="J3" s="94">
        <v>0</v>
      </c>
      <c r="K3" s="94">
        <v>0</v>
      </c>
      <c r="L3" s="94">
        <v>0</v>
      </c>
    </row>
    <row r="4" spans="1:12" ht="11.25">
      <c r="A4" s="1" t="str">
        <f t="shared" si="0"/>
        <v>R01R000002</v>
      </c>
      <c r="B4" s="1" t="s">
        <v>363</v>
      </c>
      <c r="C4" s="1" t="s">
        <v>365</v>
      </c>
      <c r="D4" s="94">
        <v>0.03</v>
      </c>
      <c r="E4" s="94">
        <v>0</v>
      </c>
      <c r="F4" s="94">
        <v>0</v>
      </c>
      <c r="G4" s="94">
        <v>0</v>
      </c>
      <c r="H4" s="94">
        <v>0</v>
      </c>
      <c r="I4" s="94">
        <v>0</v>
      </c>
      <c r="J4" s="94">
        <v>0</v>
      </c>
      <c r="K4" s="94">
        <v>0</v>
      </c>
      <c r="L4" s="94">
        <v>0</v>
      </c>
    </row>
    <row r="5" spans="1:12" ht="11.25">
      <c r="A5" s="1" t="str">
        <f t="shared" si="0"/>
        <v>R02R000002</v>
      </c>
      <c r="B5" s="1" t="s">
        <v>366</v>
      </c>
      <c r="C5" s="1" t="s">
        <v>365</v>
      </c>
      <c r="D5" s="94">
        <v>0.022</v>
      </c>
      <c r="E5" s="94">
        <v>0</v>
      </c>
      <c r="F5" s="94">
        <v>0</v>
      </c>
      <c r="G5" s="94">
        <v>0</v>
      </c>
      <c r="H5" s="94">
        <v>0</v>
      </c>
      <c r="I5" s="94">
        <v>0</v>
      </c>
      <c r="J5" s="94">
        <v>0</v>
      </c>
      <c r="K5" s="94">
        <v>0</v>
      </c>
      <c r="L5" s="94">
        <v>0</v>
      </c>
    </row>
    <row r="6" spans="1:12" ht="11.25">
      <c r="A6" s="1" t="str">
        <f t="shared" si="0"/>
        <v>TOUT000001</v>
      </c>
      <c r="B6" s="1" t="s">
        <v>298</v>
      </c>
      <c r="C6" s="1" t="s">
        <v>367</v>
      </c>
      <c r="D6" s="94">
        <v>0.35</v>
      </c>
      <c r="E6" s="94">
        <v>2.5</v>
      </c>
      <c r="F6" s="94">
        <v>0.018</v>
      </c>
      <c r="G6" s="94">
        <v>0.75</v>
      </c>
      <c r="H6" s="94">
        <v>0</v>
      </c>
      <c r="I6" s="94">
        <v>0</v>
      </c>
      <c r="J6" s="94">
        <v>0</v>
      </c>
      <c r="K6" s="94">
        <v>0</v>
      </c>
      <c r="L6" s="94">
        <v>0</v>
      </c>
    </row>
    <row r="7" spans="1:12" ht="11.25">
      <c r="A7" s="1" t="str">
        <f t="shared" si="0"/>
        <v>U99U000001</v>
      </c>
      <c r="B7" s="1" t="s">
        <v>368</v>
      </c>
      <c r="C7" s="1" t="s">
        <v>369</v>
      </c>
      <c r="D7" s="94">
        <v>0.015</v>
      </c>
      <c r="E7" s="94">
        <v>0</v>
      </c>
      <c r="F7" s="94">
        <v>0</v>
      </c>
      <c r="G7" s="94">
        <v>0</v>
      </c>
      <c r="H7" s="94">
        <v>0</v>
      </c>
      <c r="I7" s="94">
        <v>0</v>
      </c>
      <c r="J7" s="94">
        <v>0</v>
      </c>
      <c r="K7" s="94">
        <v>0</v>
      </c>
      <c r="L7" s="94">
        <v>0</v>
      </c>
    </row>
    <row r="10" spans="3:4" ht="45">
      <c r="C10" s="93" t="s">
        <v>370</v>
      </c>
      <c r="D10" s="93" t="s">
        <v>371</v>
      </c>
    </row>
    <row r="11" spans="3:4" ht="11.25">
      <c r="C11" s="96">
        <v>0.05</v>
      </c>
      <c r="D11" s="96">
        <v>0.015</v>
      </c>
    </row>
  </sheetData>
  <printOptions/>
  <pageMargins left="0.75" right="0.75" top="1" bottom="1" header="0.5" footer="0.5"/>
  <pageSetup fitToHeight="3" fitToWidth="1" horizontalDpi="600" verticalDpi="600" orientation="landscape" r:id="rId1"/>
  <headerFooter alignWithMargins="0">
    <oddHeader>&amp;CEBT Test Conditions
&amp;A</oddHeader>
    <oddFooter>&amp;LVersion 5.0&amp;CPage &amp;P&amp;RIssued:  June 25, 1999
</oddFooter>
  </headerFooter>
</worksheet>
</file>

<file path=xl/worksheets/sheet6.xml><?xml version="1.0" encoding="utf-8"?>
<worksheet xmlns="http://schemas.openxmlformats.org/spreadsheetml/2006/main" xmlns:r="http://schemas.openxmlformats.org/officeDocument/2006/relationships">
  <dimension ref="A1:AI84"/>
  <sheetViews>
    <sheetView zoomScale="75" zoomScaleNormal="75" workbookViewId="0" topLeftCell="B1">
      <selection activeCell="I5" sqref="I5"/>
      <selection activeCell="B1" sqref="B1"/>
    </sheetView>
  </sheetViews>
  <sheetFormatPr defaultColWidth="9.140625" defaultRowHeight="12.75"/>
  <cols>
    <col min="1" max="1" width="0" style="100" hidden="1" customWidth="1"/>
    <col min="2" max="3" width="3.28125" style="13" customWidth="1"/>
    <col min="4" max="4" width="5.57421875" style="13" customWidth="1"/>
    <col min="5" max="5" width="33.00390625" style="13" customWidth="1"/>
    <col min="6" max="6" width="1.7109375" style="36" customWidth="1"/>
    <col min="7" max="7" width="11.7109375" style="15" customWidth="1"/>
    <col min="8" max="9" width="11.7109375" style="100" customWidth="1"/>
    <col min="10" max="11" width="9.8515625" style="13" customWidth="1"/>
    <col min="12" max="12" width="13.140625" style="13" customWidth="1"/>
    <col min="13" max="13" width="13.28125" style="13" customWidth="1"/>
    <col min="14" max="14" width="8.8515625" style="13" customWidth="1"/>
    <col min="15" max="15" width="11.28125" style="13" customWidth="1"/>
    <col min="16" max="20" width="8.8515625" style="13" customWidth="1"/>
    <col min="21" max="22" width="10.7109375" style="13" customWidth="1"/>
    <col min="23" max="23" width="8.8515625" style="13" customWidth="1"/>
    <col min="24" max="24" width="8.8515625" style="52" customWidth="1"/>
    <col min="25" max="25" width="8.8515625" style="13" customWidth="1"/>
    <col min="26" max="26" width="13.57421875" style="13" customWidth="1"/>
    <col min="27" max="27" width="8.8515625" style="13" customWidth="1"/>
    <col min="28" max="28" width="10.8515625" style="13" customWidth="1"/>
    <col min="29" max="29" width="16.57421875" style="100" customWidth="1"/>
    <col min="30" max="30" width="8.8515625" style="100" customWidth="1"/>
    <col min="31" max="31" width="9.421875" style="100" customWidth="1"/>
    <col min="32" max="32" width="8.7109375" style="100" customWidth="1"/>
    <col min="33" max="34" width="10.28125" style="100" customWidth="1"/>
    <col min="35" max="35" width="10.00390625" style="100" customWidth="1"/>
    <col min="36" max="16384" width="8.8515625" style="100" customWidth="1"/>
  </cols>
  <sheetData>
    <row r="1" spans="1:35" ht="22.5">
      <c r="A1" s="100" t="s">
        <v>216</v>
      </c>
      <c r="B1" s="10" t="s">
        <v>216</v>
      </c>
      <c r="C1" s="10" t="s">
        <v>216</v>
      </c>
      <c r="D1" s="47" t="s">
        <v>372</v>
      </c>
      <c r="E1" s="186" t="s">
        <v>373</v>
      </c>
      <c r="F1" s="185" t="s">
        <v>216</v>
      </c>
      <c r="G1" s="48" t="s">
        <v>374</v>
      </c>
      <c r="H1" s="187"/>
      <c r="I1" s="187"/>
      <c r="J1" s="188"/>
      <c r="K1" s="188"/>
      <c r="L1" s="49" t="s">
        <v>216</v>
      </c>
      <c r="M1" s="49" t="s">
        <v>216</v>
      </c>
      <c r="N1" s="183" t="s">
        <v>216</v>
      </c>
      <c r="O1" s="183" t="s">
        <v>216</v>
      </c>
      <c r="P1" s="183" t="s">
        <v>216</v>
      </c>
      <c r="Q1" s="183" t="s">
        <v>216</v>
      </c>
      <c r="R1" s="183" t="s">
        <v>216</v>
      </c>
      <c r="S1" s="183" t="s">
        <v>216</v>
      </c>
      <c r="T1" s="183" t="s">
        <v>216</v>
      </c>
      <c r="U1" s="183" t="s">
        <v>216</v>
      </c>
      <c r="V1" s="183"/>
      <c r="W1" s="183" t="s">
        <v>216</v>
      </c>
      <c r="X1" s="183" t="s">
        <v>216</v>
      </c>
      <c r="Y1" s="183" t="s">
        <v>216</v>
      </c>
      <c r="Z1" s="183" t="s">
        <v>216</v>
      </c>
      <c r="AA1" s="183" t="s">
        <v>216</v>
      </c>
      <c r="AB1" s="184" t="s">
        <v>216</v>
      </c>
      <c r="AC1" s="189" t="s">
        <v>216</v>
      </c>
      <c r="AD1" s="189" t="s">
        <v>216</v>
      </c>
      <c r="AE1" s="189" t="s">
        <v>216</v>
      </c>
      <c r="AF1" s="189" t="s">
        <v>216</v>
      </c>
      <c r="AG1" s="189" t="s">
        <v>216</v>
      </c>
      <c r="AH1" s="189" t="s">
        <v>216</v>
      </c>
      <c r="AI1" s="190" t="s">
        <v>216</v>
      </c>
    </row>
    <row r="2" spans="1:35" ht="48" customHeight="1">
      <c r="A2" s="100" t="s">
        <v>216</v>
      </c>
      <c r="B2" s="13" t="s">
        <v>216</v>
      </c>
      <c r="C2" s="13" t="s">
        <v>216</v>
      </c>
      <c r="D2" s="25" t="s">
        <v>375</v>
      </c>
      <c r="E2" s="26" t="s">
        <v>376</v>
      </c>
      <c r="F2" s="97" t="s">
        <v>216</v>
      </c>
      <c r="G2" s="178">
        <v>1</v>
      </c>
      <c r="H2" s="178">
        <v>2</v>
      </c>
      <c r="I2" s="178">
        <v>3</v>
      </c>
      <c r="J2" s="178">
        <v>5</v>
      </c>
      <c r="K2" s="178">
        <v>4</v>
      </c>
      <c r="L2" s="178">
        <v>6</v>
      </c>
      <c r="M2" s="178">
        <v>7</v>
      </c>
      <c r="N2" s="178">
        <v>8</v>
      </c>
      <c r="O2" s="178">
        <v>9</v>
      </c>
      <c r="P2" s="178">
        <v>10</v>
      </c>
      <c r="Q2" s="178">
        <v>11</v>
      </c>
      <c r="R2" s="178">
        <v>12</v>
      </c>
      <c r="S2" s="178">
        <v>13</v>
      </c>
      <c r="T2" s="178">
        <v>14</v>
      </c>
      <c r="U2" s="178">
        <v>15</v>
      </c>
      <c r="V2" s="178">
        <v>16</v>
      </c>
      <c r="W2" s="178">
        <v>17</v>
      </c>
      <c r="X2" s="178">
        <v>18</v>
      </c>
      <c r="Y2" s="178">
        <v>19</v>
      </c>
      <c r="Z2" s="178">
        <v>20</v>
      </c>
      <c r="AA2" s="178">
        <v>21</v>
      </c>
      <c r="AB2" s="178">
        <v>22</v>
      </c>
      <c r="AC2" s="178">
        <v>23</v>
      </c>
      <c r="AD2" s="178">
        <v>24</v>
      </c>
      <c r="AE2" s="178">
        <v>25</v>
      </c>
      <c r="AF2" s="178">
        <v>26</v>
      </c>
      <c r="AG2" s="178">
        <v>27</v>
      </c>
      <c r="AH2" s="178">
        <v>28</v>
      </c>
      <c r="AI2" s="178">
        <v>29</v>
      </c>
    </row>
    <row r="3" spans="1:35" s="101" customFormat="1" ht="63" customHeight="1" thickBot="1">
      <c r="A3" s="101" t="s">
        <v>216</v>
      </c>
      <c r="B3" s="50" t="s">
        <v>377</v>
      </c>
      <c r="C3" s="50" t="s">
        <v>378</v>
      </c>
      <c r="D3" s="50" t="s">
        <v>379</v>
      </c>
      <c r="E3" s="51" t="s">
        <v>380</v>
      </c>
      <c r="F3" s="27" t="s">
        <v>216</v>
      </c>
      <c r="G3" s="109" t="s">
        <v>381</v>
      </c>
      <c r="H3" s="109" t="s">
        <v>382</v>
      </c>
      <c r="I3" s="109" t="s">
        <v>383</v>
      </c>
      <c r="J3" s="14" t="s">
        <v>384</v>
      </c>
      <c r="K3" s="14" t="s">
        <v>385</v>
      </c>
      <c r="L3" s="98" t="s">
        <v>386</v>
      </c>
      <c r="M3" s="98" t="s">
        <v>189</v>
      </c>
      <c r="N3" s="98" t="s">
        <v>387</v>
      </c>
      <c r="O3" s="98" t="s">
        <v>388</v>
      </c>
      <c r="P3" s="14" t="s">
        <v>389</v>
      </c>
      <c r="Q3" s="14" t="s">
        <v>390</v>
      </c>
      <c r="R3" s="14" t="s">
        <v>391</v>
      </c>
      <c r="S3" s="14" t="s">
        <v>392</v>
      </c>
      <c r="T3" s="14" t="s">
        <v>393</v>
      </c>
      <c r="U3" s="98" t="s">
        <v>394</v>
      </c>
      <c r="V3" s="98" t="s">
        <v>395</v>
      </c>
      <c r="W3" s="98" t="s">
        <v>396</v>
      </c>
      <c r="X3" s="99" t="s">
        <v>397</v>
      </c>
      <c r="Y3" s="98" t="s">
        <v>398</v>
      </c>
      <c r="Z3" s="14" t="s">
        <v>399</v>
      </c>
      <c r="AA3" s="14" t="s">
        <v>400</v>
      </c>
      <c r="AB3" s="14" t="s">
        <v>401</v>
      </c>
      <c r="AC3" s="14" t="s">
        <v>402</v>
      </c>
      <c r="AD3" s="14" t="s">
        <v>403</v>
      </c>
      <c r="AE3" s="109" t="s">
        <v>404</v>
      </c>
      <c r="AF3" s="109" t="s">
        <v>405</v>
      </c>
      <c r="AG3" s="109" t="s">
        <v>406</v>
      </c>
      <c r="AH3" s="109" t="s">
        <v>407</v>
      </c>
      <c r="AI3" s="109" t="s">
        <v>408</v>
      </c>
    </row>
    <row r="4" spans="1:35" s="102" customFormat="1" ht="12" customHeight="1" thickBot="1">
      <c r="A4" s="102" t="s">
        <v>216</v>
      </c>
      <c r="B4" s="45" t="s">
        <v>216</v>
      </c>
      <c r="C4" s="45" t="s">
        <v>216</v>
      </c>
      <c r="D4" s="28" t="s">
        <v>216</v>
      </c>
      <c r="E4" s="28" t="s">
        <v>216</v>
      </c>
      <c r="F4" s="29" t="s">
        <v>216</v>
      </c>
      <c r="G4" s="19" t="s">
        <v>409</v>
      </c>
      <c r="H4" s="19" t="s">
        <v>409</v>
      </c>
      <c r="I4" s="19" t="s">
        <v>410</v>
      </c>
      <c r="J4" s="19" t="s">
        <v>411</v>
      </c>
      <c r="K4" s="19" t="s">
        <v>412</v>
      </c>
      <c r="L4" s="19" t="s">
        <v>413</v>
      </c>
      <c r="M4" s="19" t="s">
        <v>413</v>
      </c>
      <c r="N4" s="19" t="s">
        <v>414</v>
      </c>
      <c r="O4" s="19" t="s">
        <v>410</v>
      </c>
      <c r="P4" s="19" t="s">
        <v>411</v>
      </c>
      <c r="Q4" s="19" t="s">
        <v>415</v>
      </c>
      <c r="R4" s="19" t="s">
        <v>415</v>
      </c>
      <c r="S4" s="19" t="s">
        <v>416</v>
      </c>
      <c r="T4" s="19" t="s">
        <v>411</v>
      </c>
      <c r="U4" s="19" t="s">
        <v>409</v>
      </c>
      <c r="V4" s="19" t="s">
        <v>415</v>
      </c>
      <c r="W4" s="19" t="s">
        <v>415</v>
      </c>
      <c r="X4" s="19" t="s">
        <v>417</v>
      </c>
      <c r="Y4" s="19" t="s">
        <v>411</v>
      </c>
      <c r="Z4" s="19" t="s">
        <v>413</v>
      </c>
      <c r="AA4" s="19" t="s">
        <v>414</v>
      </c>
      <c r="AB4" s="19" t="s">
        <v>409</v>
      </c>
      <c r="AC4" s="19" t="s">
        <v>418</v>
      </c>
      <c r="AD4" s="19" t="s">
        <v>418</v>
      </c>
      <c r="AE4" s="19" t="s">
        <v>412</v>
      </c>
      <c r="AF4" s="19" t="s">
        <v>417</v>
      </c>
      <c r="AG4" s="19" t="s">
        <v>419</v>
      </c>
      <c r="AH4" s="19" t="s">
        <v>415</v>
      </c>
      <c r="AI4" s="19" t="s">
        <v>414</v>
      </c>
    </row>
    <row r="5" spans="1:35" ht="11.25">
      <c r="A5" s="100" t="str">
        <f>CONCATENATE(B5,C5)</f>
        <v>1A1</v>
      </c>
      <c r="B5" s="12" t="s">
        <v>332</v>
      </c>
      <c r="C5" s="12">
        <v>1</v>
      </c>
      <c r="D5" s="30">
        <v>1</v>
      </c>
      <c r="E5" s="12" t="s">
        <v>420</v>
      </c>
      <c r="F5" s="31" t="s">
        <v>216</v>
      </c>
      <c r="G5" s="15" t="str">
        <f>'LDC Account Table'!$B$2</f>
        <v>LDCDUNS##</v>
      </c>
      <c r="H5" s="15" t="str">
        <f>'Supplier Account Table'!$B$2</f>
        <v>SUPDUNS##</v>
      </c>
      <c r="I5" s="179">
        <f>VLOOKUP(B5,File_Dates,2,FALSE)</f>
        <v>35978</v>
      </c>
      <c r="J5" s="12" t="s">
        <v>181</v>
      </c>
      <c r="K5" s="15" t="s">
        <v>216</v>
      </c>
      <c r="L5" s="12" t="str">
        <f>'Supplier Account Table'!A5</f>
        <v>S0000000000001</v>
      </c>
      <c r="M5" s="12" t="str">
        <f>'Test Customer Information'!A2</f>
        <v>D0000000000001</v>
      </c>
      <c r="N5" s="12" t="str">
        <f>LEFT(VLOOKUP(M5,Customer_File,3,FALSE),4)</f>
        <v>JOHN</v>
      </c>
      <c r="O5" s="180">
        <f>IF(D5=4,VLOOKUP(VLOOKUP(M5,Customer_File,3,FALSE),July,2,FALSE),"")</f>
      </c>
      <c r="P5" s="12" t="s">
        <v>182</v>
      </c>
      <c r="Q5" s="32" t="s">
        <v>216</v>
      </c>
      <c r="R5" s="12" t="s">
        <v>363</v>
      </c>
      <c r="S5" s="12" t="s">
        <v>364</v>
      </c>
      <c r="T5" s="12" t="s">
        <v>421</v>
      </c>
      <c r="U5" s="32">
        <f>IF(D5=4,VLOOKUP(M4,Customer_File,7,FALSE),"")</f>
      </c>
      <c r="V5" s="16" t="s">
        <v>216</v>
      </c>
      <c r="W5" s="16" t="s">
        <v>216</v>
      </c>
      <c r="X5" s="16">
        <f>IF(AND(D5=4,P5="C"),VLOOKUP(M5,Customer_File,3,FALSE),"")</f>
      </c>
      <c r="Y5" s="12" t="str">
        <f>IF(P5="C",VLOOKUP(M5,Customer_File,10,FALSE),"")</f>
        <v>N</v>
      </c>
      <c r="Z5" s="32" t="s">
        <v>216</v>
      </c>
      <c r="AA5" s="32" t="s">
        <v>216</v>
      </c>
      <c r="AB5" s="32" t="s">
        <v>216</v>
      </c>
      <c r="AC5" s="32" t="s">
        <v>216</v>
      </c>
      <c r="AD5" s="32" t="s">
        <v>216</v>
      </c>
      <c r="AE5" s="32" t="s">
        <v>216</v>
      </c>
      <c r="AF5" s="32" t="s">
        <v>216</v>
      </c>
      <c r="AG5" s="32" t="s">
        <v>216</v>
      </c>
      <c r="AH5" s="32" t="s">
        <v>216</v>
      </c>
      <c r="AI5" s="15" t="s">
        <v>422</v>
      </c>
    </row>
    <row r="6" spans="1:35" ht="11.25">
      <c r="A6" s="100" t="str">
        <f aca="true" t="shared" si="0" ref="A6:A21">CONCATENATE(B6,C6)</f>
        <v>1B1</v>
      </c>
      <c r="B6" s="12" t="s">
        <v>333</v>
      </c>
      <c r="C6" s="12">
        <v>1</v>
      </c>
      <c r="D6" s="30">
        <v>4</v>
      </c>
      <c r="E6" s="12" t="s">
        <v>423</v>
      </c>
      <c r="F6" s="31" t="s">
        <v>216</v>
      </c>
      <c r="G6" s="15" t="str">
        <f>'LDC Account Table'!$B$2</f>
        <v>LDCDUNS##</v>
      </c>
      <c r="H6" s="15" t="str">
        <f>'Supplier Account Table'!$B$2</f>
        <v>SUPDUNS##</v>
      </c>
      <c r="I6" s="179">
        <f>VLOOKUP(B6,File_Dates,2,FALSE)</f>
        <v>35979</v>
      </c>
      <c r="J6" s="12" t="s">
        <v>181</v>
      </c>
      <c r="K6" s="15" t="s">
        <v>216</v>
      </c>
      <c r="L6" s="12" t="str">
        <f>L5</f>
        <v>S0000000000001</v>
      </c>
      <c r="M6" s="12" t="str">
        <f>M5</f>
        <v>D0000000000001</v>
      </c>
      <c r="N6" s="12" t="str">
        <f>LEFT(VLOOKUP(M6,Customer_File,3,FALSE),4)</f>
        <v>JOHN</v>
      </c>
      <c r="O6" s="181">
        <f>IF(D6=4,VLOOKUP(VLOOKUP(M6,Customer_File,9,FALSE),July,2,FALSE),"")</f>
        <v>35982</v>
      </c>
      <c r="P6" s="12" t="s">
        <v>182</v>
      </c>
      <c r="Q6" s="32" t="s">
        <v>216</v>
      </c>
      <c r="R6" s="12" t="s">
        <v>363</v>
      </c>
      <c r="S6" s="12" t="s">
        <v>364</v>
      </c>
      <c r="T6" s="15" t="str">
        <f>VLOOKUP(M6,Customer_File,11,FALSE)</f>
        <v>E</v>
      </c>
      <c r="U6" s="12" t="str">
        <f>VLOOKUP(M5,Customer_File,14,FALSE)</f>
        <v>M000000001</v>
      </c>
      <c r="V6" s="18">
        <v>100</v>
      </c>
      <c r="W6" s="16"/>
      <c r="X6" s="17">
        <f>VLOOKUP(M6,Customer_File,9,FALSE)</f>
        <v>3</v>
      </c>
      <c r="Y6" s="12" t="str">
        <f>IF(P6="C",VLOOKUP(M6,Customer_File,10,FALSE),"")</f>
        <v>N</v>
      </c>
      <c r="Z6" s="32" t="s">
        <v>216</v>
      </c>
      <c r="AA6" s="32" t="s">
        <v>216</v>
      </c>
      <c r="AB6" s="32" t="s">
        <v>216</v>
      </c>
      <c r="AC6" s="15" t="str">
        <f>VLOOKUP(M5,Customer_File,5,FALSE)</f>
        <v>101 MAIN STREET</v>
      </c>
      <c r="AD6" s="15" t="str">
        <f>VLOOKUP(M5,Customer_File,6,FALSE)</f>
        <v> </v>
      </c>
      <c r="AE6" s="15" t="str">
        <f>LEFT(VLOOKUP(M6,Customer_File,7,FALSE),FIND(" ",VLOOKUP(M6,Customer_File,7,FALSE),1))</f>
        <v>TOWN </v>
      </c>
      <c r="AF6" s="15" t="s">
        <v>424</v>
      </c>
      <c r="AG6" s="15" t="str">
        <f>RIGHT(VLOOKUP(M6,Customer_File,7,FALSE),5)</f>
        <v>99999</v>
      </c>
      <c r="AH6" s="32" t="s">
        <v>216</v>
      </c>
      <c r="AI6" s="32" t="s">
        <v>216</v>
      </c>
    </row>
    <row r="7" spans="1:35" ht="5.25" customHeight="1">
      <c r="A7" s="100" t="str">
        <f t="shared" si="0"/>
        <v>  </v>
      </c>
      <c r="B7" s="31" t="s">
        <v>216</v>
      </c>
      <c r="C7" s="31" t="s">
        <v>216</v>
      </c>
      <c r="D7" s="34" t="s">
        <v>216</v>
      </c>
      <c r="E7" s="31" t="s">
        <v>216</v>
      </c>
      <c r="F7" s="31" t="s">
        <v>216</v>
      </c>
      <c r="G7" s="31"/>
      <c r="H7" s="31"/>
      <c r="I7" s="182"/>
      <c r="J7" s="31" t="s">
        <v>216</v>
      </c>
      <c r="K7" s="31"/>
      <c r="L7" s="31" t="s">
        <v>216</v>
      </c>
      <c r="M7" s="31" t="s">
        <v>216</v>
      </c>
      <c r="N7" s="31" t="s">
        <v>216</v>
      </c>
      <c r="O7" s="182">
        <f aca="true" t="shared" si="1" ref="O7:O22">IF(D7=4,VLOOKUP(VLOOKUP(M7,Customer_File,3,FALSE),July,2,FALSE),"")</f>
      </c>
      <c r="P7" s="31" t="s">
        <v>216</v>
      </c>
      <c r="Q7" s="31" t="s">
        <v>216</v>
      </c>
      <c r="R7" s="31" t="s">
        <v>216</v>
      </c>
      <c r="S7" s="31" t="s">
        <v>216</v>
      </c>
      <c r="T7" s="31" t="s">
        <v>216</v>
      </c>
      <c r="U7" s="31">
        <f aca="true" t="shared" si="2" ref="U7:U22">IF(D7=4,VLOOKUP(M6,Customer_File,7,FALSE),"")</f>
      </c>
      <c r="V7" s="35"/>
      <c r="W7" s="35" t="s">
        <v>216</v>
      </c>
      <c r="X7" s="35">
        <f aca="true" t="shared" si="3" ref="X7:X19">IF(AND(D7=4,P7="C"),VLOOKUP(M7,Customer_File,3,FALSE),"")</f>
      </c>
      <c r="Y7" s="31" t="s">
        <v>216</v>
      </c>
      <c r="Z7" s="31" t="s">
        <v>216</v>
      </c>
      <c r="AA7" s="31" t="s">
        <v>216</v>
      </c>
      <c r="AB7" s="31" t="s">
        <v>216</v>
      </c>
      <c r="AC7" s="31" t="s">
        <v>216</v>
      </c>
      <c r="AD7" s="31" t="s">
        <v>216</v>
      </c>
      <c r="AE7" s="31" t="s">
        <v>216</v>
      </c>
      <c r="AF7" s="31" t="s">
        <v>216</v>
      </c>
      <c r="AG7" s="31" t="s">
        <v>216</v>
      </c>
      <c r="AH7" s="31" t="s">
        <v>216</v>
      </c>
      <c r="AI7" s="31" t="s">
        <v>216</v>
      </c>
    </row>
    <row r="8" spans="1:35" ht="11.25">
      <c r="A8" s="100" t="str">
        <f t="shared" si="0"/>
        <v>1A2</v>
      </c>
      <c r="B8" s="12" t="s">
        <v>332</v>
      </c>
      <c r="C8" s="12">
        <v>2</v>
      </c>
      <c r="D8" s="30">
        <v>1</v>
      </c>
      <c r="E8" s="12" t="s">
        <v>425</v>
      </c>
      <c r="F8" s="31" t="s">
        <v>216</v>
      </c>
      <c r="G8" s="15" t="str">
        <f>'LDC Account Table'!$B$2</f>
        <v>LDCDUNS##</v>
      </c>
      <c r="H8" s="15" t="str">
        <f>'Supplier Account Table'!$B$2</f>
        <v>SUPDUNS##</v>
      </c>
      <c r="I8" s="179">
        <f>VLOOKUP(B8,File_Dates,2,FALSE)</f>
        <v>35978</v>
      </c>
      <c r="J8" s="12" t="s">
        <v>181</v>
      </c>
      <c r="K8" s="12" t="s">
        <v>216</v>
      </c>
      <c r="L8" s="12" t="str">
        <f>'Supplier Account Table'!A6</f>
        <v>S0000000000002</v>
      </c>
      <c r="M8" s="12" t="str">
        <f>'Test Customer Information'!A3</f>
        <v>D0000000000002</v>
      </c>
      <c r="N8" s="12" t="str">
        <f>LEFT(VLOOKUP(M8,Customer_File,3,FALSE),4)</f>
        <v>SMIT</v>
      </c>
      <c r="O8" s="180">
        <f t="shared" si="1"/>
      </c>
      <c r="P8" s="12" t="s">
        <v>426</v>
      </c>
      <c r="Q8" s="32" t="s">
        <v>216</v>
      </c>
      <c r="R8" s="32" t="s">
        <v>216</v>
      </c>
      <c r="S8" s="32" t="s">
        <v>216</v>
      </c>
      <c r="T8" s="12" t="s">
        <v>421</v>
      </c>
      <c r="U8" s="32">
        <f t="shared" si="2"/>
      </c>
      <c r="V8" s="16" t="s">
        <v>216</v>
      </c>
      <c r="W8" s="16" t="s">
        <v>216</v>
      </c>
      <c r="X8" s="16">
        <f t="shared" si="3"/>
      </c>
      <c r="Y8" s="32">
        <f aca="true" t="shared" si="4" ref="Y8:Y13">IF(P8="C",VLOOKUP(M8,Customer_File,4,FALSE),"")</f>
      </c>
      <c r="Z8" s="32" t="s">
        <v>216</v>
      </c>
      <c r="AA8" s="32" t="s">
        <v>216</v>
      </c>
      <c r="AB8" s="32" t="s">
        <v>216</v>
      </c>
      <c r="AC8" s="32" t="s">
        <v>216</v>
      </c>
      <c r="AD8" s="32" t="s">
        <v>216</v>
      </c>
      <c r="AE8" s="32" t="s">
        <v>216</v>
      </c>
      <c r="AF8" s="32" t="s">
        <v>216</v>
      </c>
      <c r="AG8" s="32" t="s">
        <v>216</v>
      </c>
      <c r="AH8" s="32" t="s">
        <v>216</v>
      </c>
      <c r="AI8" s="32" t="s">
        <v>216</v>
      </c>
    </row>
    <row r="9" spans="1:35" ht="11.25">
      <c r="A9" s="100" t="str">
        <f t="shared" si="0"/>
        <v>1B2</v>
      </c>
      <c r="B9" s="12" t="s">
        <v>333</v>
      </c>
      <c r="C9" s="12">
        <v>2</v>
      </c>
      <c r="D9" s="30">
        <v>4</v>
      </c>
      <c r="E9" s="12" t="s">
        <v>427</v>
      </c>
      <c r="F9" s="31" t="s">
        <v>216</v>
      </c>
      <c r="G9" s="15" t="str">
        <f>'LDC Account Table'!$B$2</f>
        <v>LDCDUNS##</v>
      </c>
      <c r="H9" s="15" t="str">
        <f>'Supplier Account Table'!$B$2</f>
        <v>SUPDUNS##</v>
      </c>
      <c r="I9" s="179">
        <f>VLOOKUP(B9,File_Dates,2,FALSE)</f>
        <v>35979</v>
      </c>
      <c r="J9" s="12" t="s">
        <v>181</v>
      </c>
      <c r="K9" s="12" t="s">
        <v>216</v>
      </c>
      <c r="L9" s="12" t="str">
        <f>L8</f>
        <v>S0000000000002</v>
      </c>
      <c r="M9" s="12" t="str">
        <f>M8</f>
        <v>D0000000000002</v>
      </c>
      <c r="N9" s="12" t="str">
        <f>LEFT(VLOOKUP(M9,Customer_File,3,FALSE),4)</f>
        <v>SMIT</v>
      </c>
      <c r="O9" s="181">
        <f>IF(D9=4,VLOOKUP(VLOOKUP(M9,Customer_File,9,FALSE),August,2,FALSE),"")</f>
        <v>36006</v>
      </c>
      <c r="P9" s="15" t="s">
        <v>426</v>
      </c>
      <c r="Q9" s="32" t="s">
        <v>216</v>
      </c>
      <c r="R9" s="32" t="s">
        <v>216</v>
      </c>
      <c r="S9" s="32" t="s">
        <v>216</v>
      </c>
      <c r="T9" s="15" t="str">
        <f>VLOOKUP(M9,Customer_File,11,FALSE)</f>
        <v>E</v>
      </c>
      <c r="U9" s="12" t="str">
        <f>VLOOKUP(M8,Customer_File,14,FALSE)</f>
        <v>M000000002</v>
      </c>
      <c r="V9" s="18">
        <v>100</v>
      </c>
      <c r="W9" s="16"/>
      <c r="X9" s="17">
        <f>VLOOKUP(M9,Customer_File,9,FALSE)</f>
        <v>1</v>
      </c>
      <c r="Y9" s="32">
        <f t="shared" si="4"/>
      </c>
      <c r="Z9" s="32" t="s">
        <v>216</v>
      </c>
      <c r="AA9" s="32" t="s">
        <v>216</v>
      </c>
      <c r="AB9" s="32" t="s">
        <v>216</v>
      </c>
      <c r="AC9" s="15" t="str">
        <f>VLOOKUP(M8,Customer_File,5,FALSE)</f>
        <v>504 EAST STREET</v>
      </c>
      <c r="AD9" s="15" t="str">
        <f>VLOOKUP(M8,Customer_File,6,FALSE)</f>
        <v>APT 27</v>
      </c>
      <c r="AE9" s="15" t="str">
        <f>LEFT(VLOOKUP(M9,Customer_File,7,FALSE),FIND(" ",VLOOKUP(M9,Customer_File,7,FALSE),1))</f>
        <v>TOWN </v>
      </c>
      <c r="AF9" s="15" t="s">
        <v>424</v>
      </c>
      <c r="AG9" s="15" t="str">
        <f>RIGHT(VLOOKUP(M9,Customer_File,7,FALSE),5)</f>
        <v>99999</v>
      </c>
      <c r="AH9" s="32" t="s">
        <v>216</v>
      </c>
      <c r="AI9" s="32" t="s">
        <v>216</v>
      </c>
    </row>
    <row r="10" spans="1:35" ht="5.25" customHeight="1">
      <c r="A10" s="100" t="str">
        <f t="shared" si="0"/>
        <v>  </v>
      </c>
      <c r="B10" s="31" t="s">
        <v>216</v>
      </c>
      <c r="C10" s="31" t="s">
        <v>216</v>
      </c>
      <c r="D10" s="34" t="s">
        <v>216</v>
      </c>
      <c r="E10" s="31" t="s">
        <v>216</v>
      </c>
      <c r="F10" s="31" t="s">
        <v>216</v>
      </c>
      <c r="G10" s="31"/>
      <c r="H10" s="31"/>
      <c r="I10" s="182"/>
      <c r="J10" s="31" t="s">
        <v>216</v>
      </c>
      <c r="K10" s="31"/>
      <c r="L10" s="31" t="s">
        <v>216</v>
      </c>
      <c r="M10" s="31" t="s">
        <v>216</v>
      </c>
      <c r="N10" s="31" t="s">
        <v>216</v>
      </c>
      <c r="O10" s="182">
        <f t="shared" si="1"/>
      </c>
      <c r="P10" s="31" t="s">
        <v>216</v>
      </c>
      <c r="Q10" s="31" t="s">
        <v>216</v>
      </c>
      <c r="R10" s="31" t="s">
        <v>216</v>
      </c>
      <c r="S10" s="31" t="s">
        <v>216</v>
      </c>
      <c r="T10" s="31" t="s">
        <v>216</v>
      </c>
      <c r="U10" s="31">
        <f t="shared" si="2"/>
      </c>
      <c r="V10" s="35"/>
      <c r="W10" s="35" t="s">
        <v>216</v>
      </c>
      <c r="X10" s="35">
        <f t="shared" si="3"/>
      </c>
      <c r="Y10" s="31">
        <f t="shared" si="4"/>
      </c>
      <c r="Z10" s="31" t="s">
        <v>216</v>
      </c>
      <c r="AA10" s="31" t="s">
        <v>216</v>
      </c>
      <c r="AB10" s="31" t="s">
        <v>216</v>
      </c>
      <c r="AC10" s="31" t="s">
        <v>216</v>
      </c>
      <c r="AD10" s="31" t="s">
        <v>216</v>
      </c>
      <c r="AE10" s="31" t="s">
        <v>216</v>
      </c>
      <c r="AF10" s="31" t="s">
        <v>216</v>
      </c>
      <c r="AG10" s="31" t="s">
        <v>216</v>
      </c>
      <c r="AH10" s="31" t="s">
        <v>216</v>
      </c>
      <c r="AI10" s="31" t="s">
        <v>216</v>
      </c>
    </row>
    <row r="11" spans="1:35" ht="11.25">
      <c r="A11" s="100" t="str">
        <f t="shared" si="0"/>
        <v>1A3</v>
      </c>
      <c r="B11" s="12" t="s">
        <v>332</v>
      </c>
      <c r="C11" s="12">
        <v>3</v>
      </c>
      <c r="D11" s="30">
        <v>1</v>
      </c>
      <c r="E11" s="12" t="s">
        <v>428</v>
      </c>
      <c r="F11" s="31" t="s">
        <v>216</v>
      </c>
      <c r="G11" s="15" t="str">
        <f>'LDC Account Table'!$B$2</f>
        <v>LDCDUNS##</v>
      </c>
      <c r="H11" s="15" t="str">
        <f>'Supplier Account Table'!$B$2</f>
        <v>SUPDUNS##</v>
      </c>
      <c r="I11" s="179">
        <f>VLOOKUP(B11,File_Dates,2,FALSE)</f>
        <v>35978</v>
      </c>
      <c r="J11" s="12" t="s">
        <v>181</v>
      </c>
      <c r="K11" s="12" t="s">
        <v>216</v>
      </c>
      <c r="L11" s="12" t="str">
        <f>'Supplier Account Table'!A7</f>
        <v>S0000000000003</v>
      </c>
      <c r="M11" s="12" t="s">
        <v>429</v>
      </c>
      <c r="N11" s="12" t="s">
        <v>258</v>
      </c>
      <c r="O11" s="180">
        <f t="shared" si="1"/>
      </c>
      <c r="P11" s="12" t="s">
        <v>426</v>
      </c>
      <c r="Q11" s="32" t="s">
        <v>216</v>
      </c>
      <c r="R11" s="32" t="s">
        <v>216</v>
      </c>
      <c r="S11" s="32" t="s">
        <v>216</v>
      </c>
      <c r="T11" s="12" t="s">
        <v>421</v>
      </c>
      <c r="U11" s="32">
        <f t="shared" si="2"/>
      </c>
      <c r="V11" s="16" t="s">
        <v>216</v>
      </c>
      <c r="W11" s="16" t="s">
        <v>216</v>
      </c>
      <c r="X11" s="16">
        <f t="shared" si="3"/>
      </c>
      <c r="Y11" s="32">
        <f t="shared" si="4"/>
      </c>
      <c r="Z11" s="32" t="s">
        <v>216</v>
      </c>
      <c r="AA11" s="32" t="s">
        <v>216</v>
      </c>
      <c r="AB11" s="32" t="s">
        <v>216</v>
      </c>
      <c r="AC11" s="32" t="s">
        <v>216</v>
      </c>
      <c r="AD11" s="32" t="s">
        <v>216</v>
      </c>
      <c r="AE11" s="32" t="s">
        <v>216</v>
      </c>
      <c r="AF11" s="32" t="s">
        <v>216</v>
      </c>
      <c r="AG11" s="32" t="s">
        <v>216</v>
      </c>
      <c r="AH11" s="32" t="s">
        <v>216</v>
      </c>
      <c r="AI11" s="32" t="s">
        <v>216</v>
      </c>
    </row>
    <row r="12" spans="1:35" ht="11.25">
      <c r="A12" s="100" t="str">
        <f t="shared" si="0"/>
        <v>1B3</v>
      </c>
      <c r="B12" s="12" t="s">
        <v>333</v>
      </c>
      <c r="C12" s="12">
        <v>3</v>
      </c>
      <c r="D12" s="30">
        <v>6</v>
      </c>
      <c r="E12" s="12" t="s">
        <v>430</v>
      </c>
      <c r="F12" s="31" t="s">
        <v>216</v>
      </c>
      <c r="G12" s="15" t="str">
        <f>'LDC Account Table'!$B$2</f>
        <v>LDCDUNS##</v>
      </c>
      <c r="H12" s="15" t="str">
        <f>'Supplier Account Table'!$B$2</f>
        <v>SUPDUNS##</v>
      </c>
      <c r="I12" s="179">
        <f>VLOOKUP(B12,File_Dates,2,FALSE)</f>
        <v>35979</v>
      </c>
      <c r="J12" s="12" t="s">
        <v>185</v>
      </c>
      <c r="K12" s="12" t="s">
        <v>216</v>
      </c>
      <c r="L12" s="12" t="str">
        <f>L11</f>
        <v>S0000000000003</v>
      </c>
      <c r="M12" s="12" t="str">
        <f>M11</f>
        <v>D9999999999999</v>
      </c>
      <c r="N12" s="12" t="s">
        <v>258</v>
      </c>
      <c r="O12" s="180">
        <f t="shared" si="1"/>
      </c>
      <c r="P12" s="32" t="s">
        <v>216</v>
      </c>
      <c r="Q12" s="32" t="s">
        <v>216</v>
      </c>
      <c r="R12" s="32" t="s">
        <v>216</v>
      </c>
      <c r="S12" s="32" t="s">
        <v>216</v>
      </c>
      <c r="T12" s="32" t="s">
        <v>216</v>
      </c>
      <c r="U12" s="32">
        <f t="shared" si="2"/>
      </c>
      <c r="V12" s="227" t="s">
        <v>431</v>
      </c>
      <c r="W12" s="16"/>
      <c r="X12" s="16">
        <f t="shared" si="3"/>
      </c>
      <c r="Y12" s="32">
        <f t="shared" si="4"/>
      </c>
      <c r="Z12" s="32" t="s">
        <v>216</v>
      </c>
      <c r="AA12" s="32" t="s">
        <v>216</v>
      </c>
      <c r="AB12" s="32" t="s">
        <v>216</v>
      </c>
      <c r="AC12" s="32" t="s">
        <v>216</v>
      </c>
      <c r="AD12" s="32" t="s">
        <v>216</v>
      </c>
      <c r="AE12" s="32" t="s">
        <v>216</v>
      </c>
      <c r="AF12" s="32" t="s">
        <v>216</v>
      </c>
      <c r="AG12" s="32" t="s">
        <v>216</v>
      </c>
      <c r="AH12" s="32" t="s">
        <v>216</v>
      </c>
      <c r="AI12" s="32" t="s">
        <v>216</v>
      </c>
    </row>
    <row r="13" spans="1:35" ht="5.25" customHeight="1">
      <c r="A13" s="100" t="str">
        <f t="shared" si="0"/>
        <v>  </v>
      </c>
      <c r="B13" s="31" t="s">
        <v>216</v>
      </c>
      <c r="C13" s="31" t="s">
        <v>216</v>
      </c>
      <c r="D13" s="34" t="s">
        <v>216</v>
      </c>
      <c r="E13" s="31" t="s">
        <v>216</v>
      </c>
      <c r="F13" s="31" t="s">
        <v>216</v>
      </c>
      <c r="G13" s="31"/>
      <c r="H13" s="31"/>
      <c r="I13" s="182"/>
      <c r="J13" s="31" t="s">
        <v>216</v>
      </c>
      <c r="K13" s="31"/>
      <c r="L13" s="31" t="s">
        <v>216</v>
      </c>
      <c r="M13" s="31" t="s">
        <v>216</v>
      </c>
      <c r="N13" s="31" t="s">
        <v>216</v>
      </c>
      <c r="O13" s="182">
        <f t="shared" si="1"/>
      </c>
      <c r="P13" s="31" t="s">
        <v>216</v>
      </c>
      <c r="Q13" s="31" t="s">
        <v>216</v>
      </c>
      <c r="R13" s="31" t="s">
        <v>216</v>
      </c>
      <c r="S13" s="31" t="s">
        <v>216</v>
      </c>
      <c r="T13" s="31" t="s">
        <v>216</v>
      </c>
      <c r="U13" s="31">
        <f t="shared" si="2"/>
      </c>
      <c r="V13" s="35"/>
      <c r="W13" s="35" t="s">
        <v>216</v>
      </c>
      <c r="X13" s="35">
        <f t="shared" si="3"/>
      </c>
      <c r="Y13" s="31">
        <f t="shared" si="4"/>
      </c>
      <c r="Z13" s="31" t="s">
        <v>216</v>
      </c>
      <c r="AA13" s="31" t="s">
        <v>216</v>
      </c>
      <c r="AB13" s="31" t="s">
        <v>216</v>
      </c>
      <c r="AC13" s="31" t="s">
        <v>216</v>
      </c>
      <c r="AD13" s="31" t="s">
        <v>216</v>
      </c>
      <c r="AE13" s="31" t="s">
        <v>216</v>
      </c>
      <c r="AF13" s="31" t="s">
        <v>216</v>
      </c>
      <c r="AG13" s="31" t="s">
        <v>216</v>
      </c>
      <c r="AH13" s="31" t="s">
        <v>216</v>
      </c>
      <c r="AI13" s="31" t="s">
        <v>216</v>
      </c>
    </row>
    <row r="14" spans="1:35" ht="11.25">
      <c r="A14" s="100" t="str">
        <f t="shared" si="0"/>
        <v>1A4</v>
      </c>
      <c r="B14" s="12" t="s">
        <v>332</v>
      </c>
      <c r="C14" s="12">
        <v>4</v>
      </c>
      <c r="D14" s="30">
        <v>1</v>
      </c>
      <c r="E14" s="12" t="s">
        <v>432</v>
      </c>
      <c r="F14" s="31" t="s">
        <v>216</v>
      </c>
      <c r="G14" s="15" t="str">
        <f>'LDC Account Table'!$B$2</f>
        <v>LDCDUNS##</v>
      </c>
      <c r="H14" s="15" t="str">
        <f>'Supplier Account Table'!$B$2</f>
        <v>SUPDUNS##</v>
      </c>
      <c r="I14" s="179">
        <f>VLOOKUP(B14,File_Dates,2,FALSE)</f>
        <v>35978</v>
      </c>
      <c r="J14" s="12" t="s">
        <v>181</v>
      </c>
      <c r="K14" s="12" t="s">
        <v>216</v>
      </c>
      <c r="L14" s="12" t="str">
        <f>'Supplier Account Table'!A8</f>
        <v>S0000000000004</v>
      </c>
      <c r="M14" s="12" t="str">
        <f>'Test Customer Information'!A4</f>
        <v>D0000000000003</v>
      </c>
      <c r="N14" s="12" t="str">
        <f>LEFT(VLOOKUP(M14,Customer_File,3,FALSE),4)</f>
        <v>ADAM</v>
      </c>
      <c r="O14" s="180">
        <f t="shared" si="1"/>
      </c>
      <c r="P14" s="12" t="s">
        <v>182</v>
      </c>
      <c r="Q14" s="32" t="s">
        <v>216</v>
      </c>
      <c r="R14" s="15" t="s">
        <v>363</v>
      </c>
      <c r="S14" s="12" t="s">
        <v>364</v>
      </c>
      <c r="T14" s="12" t="s">
        <v>421</v>
      </c>
      <c r="U14" s="32">
        <f t="shared" si="2"/>
      </c>
      <c r="V14" s="16" t="s">
        <v>216</v>
      </c>
      <c r="W14" s="16" t="s">
        <v>216</v>
      </c>
      <c r="X14" s="16">
        <f t="shared" si="3"/>
      </c>
      <c r="Y14" s="12" t="str">
        <f>IF(P14="C",VLOOKUP(M14,Customer_File,10,FALSE),"")</f>
        <v>N</v>
      </c>
      <c r="Z14" s="32" t="s">
        <v>216</v>
      </c>
      <c r="AA14" s="32" t="s">
        <v>216</v>
      </c>
      <c r="AB14" s="32" t="s">
        <v>216</v>
      </c>
      <c r="AC14" s="32" t="s">
        <v>216</v>
      </c>
      <c r="AD14" s="32" t="s">
        <v>216</v>
      </c>
      <c r="AE14" s="32" t="s">
        <v>216</v>
      </c>
      <c r="AF14" s="32" t="s">
        <v>216</v>
      </c>
      <c r="AG14" s="32" t="s">
        <v>216</v>
      </c>
      <c r="AH14" s="32" t="s">
        <v>216</v>
      </c>
      <c r="AI14" s="32" t="s">
        <v>216</v>
      </c>
    </row>
    <row r="15" spans="1:35" ht="11.25">
      <c r="A15" s="100" t="str">
        <f t="shared" si="0"/>
        <v>1B4</v>
      </c>
      <c r="B15" s="12" t="s">
        <v>333</v>
      </c>
      <c r="C15" s="12">
        <v>4</v>
      </c>
      <c r="D15" s="30">
        <v>4</v>
      </c>
      <c r="E15" s="12" t="s">
        <v>433</v>
      </c>
      <c r="F15" s="31" t="s">
        <v>216</v>
      </c>
      <c r="G15" s="15" t="str">
        <f>'LDC Account Table'!$B$2</f>
        <v>LDCDUNS##</v>
      </c>
      <c r="H15" s="15" t="str">
        <f>'Supplier Account Table'!$B$2</f>
        <v>SUPDUNS##</v>
      </c>
      <c r="I15" s="179">
        <f>VLOOKUP(B15,File_Dates,2,FALSE)</f>
        <v>35979</v>
      </c>
      <c r="J15" s="12" t="s">
        <v>181</v>
      </c>
      <c r="K15" s="12" t="s">
        <v>216</v>
      </c>
      <c r="L15" s="12" t="str">
        <f>L14</f>
        <v>S0000000000004</v>
      </c>
      <c r="M15" s="12" t="str">
        <f>M14</f>
        <v>D0000000000003</v>
      </c>
      <c r="N15" s="12" t="str">
        <f>LEFT(VLOOKUP(M15,Customer_File,3,FALSE),4)</f>
        <v>ADAM</v>
      </c>
      <c r="O15" s="181">
        <f>IF(D15=4,VLOOKUP(VLOOKUP(M15,Customer_File,9,FALSE),July,2,FALSE),"")</f>
        <v>35989</v>
      </c>
      <c r="P15" s="12" t="s">
        <v>182</v>
      </c>
      <c r="Q15" s="32" t="s">
        <v>216</v>
      </c>
      <c r="R15" s="12" t="s">
        <v>363</v>
      </c>
      <c r="S15" s="12" t="s">
        <v>364</v>
      </c>
      <c r="T15" s="15" t="str">
        <f>VLOOKUP(M15,Customer_File,11,FALSE)</f>
        <v>E</v>
      </c>
      <c r="U15" s="12" t="str">
        <f>VLOOKUP(M14,Customer_File,14,FALSE)</f>
        <v>M000000003</v>
      </c>
      <c r="V15" s="18">
        <v>100</v>
      </c>
      <c r="W15" s="16"/>
      <c r="X15" s="17">
        <f>VLOOKUP(M15,Customer_File,9,FALSE)</f>
        <v>8</v>
      </c>
      <c r="Y15" s="12" t="str">
        <f>IF(P15="C",VLOOKUP(M15,Customer_File,10,FALSE),"")</f>
        <v>N</v>
      </c>
      <c r="Z15" s="32" t="s">
        <v>216</v>
      </c>
      <c r="AA15" s="32" t="s">
        <v>216</v>
      </c>
      <c r="AB15" s="32" t="s">
        <v>216</v>
      </c>
      <c r="AC15" s="15" t="str">
        <f>VLOOKUP(M14,Customer_File,5,FALSE)</f>
        <v>5 SOUTH STREET</v>
      </c>
      <c r="AD15" s="15" t="str">
        <f>VLOOKUP(M14,Customer_File,6,FALSE)</f>
        <v> </v>
      </c>
      <c r="AE15" s="15" t="str">
        <f>LEFT(VLOOKUP(M15,Customer_File,7,FALSE),FIND(" ",VLOOKUP(M15,Customer_File,7,FALSE),1))</f>
        <v>OLDTOWN </v>
      </c>
      <c r="AF15" s="15" t="s">
        <v>424</v>
      </c>
      <c r="AG15" s="15" t="str">
        <f>RIGHT(VLOOKUP(M15,Customer_File,7,FALSE),5)</f>
        <v>99999</v>
      </c>
      <c r="AH15" s="32" t="s">
        <v>216</v>
      </c>
      <c r="AI15" s="32" t="s">
        <v>216</v>
      </c>
    </row>
    <row r="16" spans="1:35" ht="11.25">
      <c r="A16" s="100" t="str">
        <f t="shared" si="0"/>
        <v>1B5</v>
      </c>
      <c r="B16" s="12" t="s">
        <v>333</v>
      </c>
      <c r="C16" s="12">
        <v>5</v>
      </c>
      <c r="D16" s="30">
        <v>4</v>
      </c>
      <c r="E16" s="12" t="s">
        <v>434</v>
      </c>
      <c r="F16" s="31" t="s">
        <v>216</v>
      </c>
      <c r="G16" s="15" t="str">
        <f>'LDC Account Table'!$B$2</f>
        <v>LDCDUNS##</v>
      </c>
      <c r="H16" s="15" t="str">
        <f>'Supplier Account Table'!$B$2</f>
        <v>SUPDUNS##</v>
      </c>
      <c r="I16" s="179">
        <f>VLOOKUP(B16,File_Dates,2,FALSE)</f>
        <v>35979</v>
      </c>
      <c r="J16" s="12" t="s">
        <v>181</v>
      </c>
      <c r="K16" s="12" t="s">
        <v>216</v>
      </c>
      <c r="L16" s="12" t="str">
        <f>L14</f>
        <v>S0000000000004</v>
      </c>
      <c r="M16" s="12" t="str">
        <f>M14</f>
        <v>D0000000000003</v>
      </c>
      <c r="N16" s="12" t="str">
        <f>LEFT(VLOOKUP(M16,Customer_File,3,FALSE),4)</f>
        <v>ADAM</v>
      </c>
      <c r="O16" s="181">
        <f>IF(D16=4,VLOOKUP(VLOOKUP(M16,Customer_File,9,FALSE),July,2,FALSE),"")</f>
        <v>35989</v>
      </c>
      <c r="P16" s="12" t="s">
        <v>182</v>
      </c>
      <c r="Q16" s="32" t="s">
        <v>216</v>
      </c>
      <c r="R16" s="12" t="s">
        <v>363</v>
      </c>
      <c r="S16" s="12" t="s">
        <v>364</v>
      </c>
      <c r="T16" s="12" t="s">
        <v>232</v>
      </c>
      <c r="U16" s="18" t="str">
        <f>VLOOKUP(M16,Customer_File,18,FALSE)</f>
        <v>U000000001</v>
      </c>
      <c r="V16" s="18">
        <v>100</v>
      </c>
      <c r="W16" s="16"/>
      <c r="X16" s="17">
        <f>VLOOKUP(M16,Customer_File,9,FALSE)</f>
        <v>8</v>
      </c>
      <c r="Y16" s="12" t="str">
        <f>IF(P16="C",VLOOKUP(M16,Customer_File,10,FALSE),"")</f>
        <v>N</v>
      </c>
      <c r="Z16" s="32" t="s">
        <v>216</v>
      </c>
      <c r="AA16" s="32" t="s">
        <v>216</v>
      </c>
      <c r="AB16" s="32" t="s">
        <v>216</v>
      </c>
      <c r="AC16" s="15" t="str">
        <f>VLOOKUP(M15,Customer_File,5,FALSE)</f>
        <v>5 SOUTH STREET</v>
      </c>
      <c r="AD16" s="15" t="str">
        <f>VLOOKUP(M15,Customer_File,6,FALSE)</f>
        <v> </v>
      </c>
      <c r="AE16" s="15" t="str">
        <f>LEFT(VLOOKUP(M16,Customer_File,7,FALSE),FIND(" ",VLOOKUP(M16,Customer_File,7,FALSE),1))</f>
        <v>OLDTOWN </v>
      </c>
      <c r="AF16" s="15" t="s">
        <v>424</v>
      </c>
      <c r="AG16" s="15" t="str">
        <f>RIGHT(VLOOKUP(M16,Customer_File,7,FALSE),5)</f>
        <v>99999</v>
      </c>
      <c r="AH16" s="32" t="s">
        <v>216</v>
      </c>
      <c r="AI16" s="32" t="s">
        <v>216</v>
      </c>
    </row>
    <row r="17" spans="1:35" ht="5.25" customHeight="1">
      <c r="A17" s="100" t="str">
        <f t="shared" si="0"/>
        <v>  </v>
      </c>
      <c r="B17" s="31" t="s">
        <v>216</v>
      </c>
      <c r="C17" s="31" t="s">
        <v>216</v>
      </c>
      <c r="D17" s="34" t="s">
        <v>216</v>
      </c>
      <c r="E17" s="31" t="s">
        <v>216</v>
      </c>
      <c r="F17" s="31" t="s">
        <v>216</v>
      </c>
      <c r="G17" s="31"/>
      <c r="H17" s="31"/>
      <c r="I17" s="182"/>
      <c r="J17" s="31" t="s">
        <v>216</v>
      </c>
      <c r="K17" s="31"/>
      <c r="L17" s="31" t="s">
        <v>216</v>
      </c>
      <c r="M17" s="31" t="s">
        <v>216</v>
      </c>
      <c r="N17" s="31" t="s">
        <v>216</v>
      </c>
      <c r="O17" s="182">
        <f t="shared" si="1"/>
      </c>
      <c r="P17" s="31" t="s">
        <v>216</v>
      </c>
      <c r="Q17" s="31" t="s">
        <v>216</v>
      </c>
      <c r="R17" s="31" t="s">
        <v>216</v>
      </c>
      <c r="S17" s="31" t="s">
        <v>216</v>
      </c>
      <c r="T17" s="31" t="s">
        <v>216</v>
      </c>
      <c r="U17" s="31">
        <f t="shared" si="2"/>
      </c>
      <c r="V17" s="35"/>
      <c r="W17" s="35" t="s">
        <v>216</v>
      </c>
      <c r="X17" s="35">
        <f t="shared" si="3"/>
      </c>
      <c r="Y17" s="31">
        <f>IF(P17="C",VLOOKUP(M17,Customer_File,4,FALSE),"")</f>
      </c>
      <c r="Z17" s="31" t="s">
        <v>216</v>
      </c>
      <c r="AA17" s="31" t="s">
        <v>216</v>
      </c>
      <c r="AB17" s="31" t="s">
        <v>216</v>
      </c>
      <c r="AC17" s="31" t="s">
        <v>216</v>
      </c>
      <c r="AD17" s="31" t="s">
        <v>216</v>
      </c>
      <c r="AE17" s="31" t="s">
        <v>216</v>
      </c>
      <c r="AF17" s="31" t="s">
        <v>216</v>
      </c>
      <c r="AG17" s="31" t="s">
        <v>216</v>
      </c>
      <c r="AH17" s="31" t="s">
        <v>216</v>
      </c>
      <c r="AI17" s="31" t="s">
        <v>216</v>
      </c>
    </row>
    <row r="18" spans="1:35" ht="11.25">
      <c r="A18" s="100" t="str">
        <f t="shared" si="0"/>
        <v>1A5</v>
      </c>
      <c r="B18" s="12" t="s">
        <v>332</v>
      </c>
      <c r="C18" s="12">
        <v>5</v>
      </c>
      <c r="D18" s="30">
        <v>1</v>
      </c>
      <c r="E18" s="12" t="s">
        <v>435</v>
      </c>
      <c r="F18" s="31" t="s">
        <v>216</v>
      </c>
      <c r="G18" s="15" t="str">
        <f>'LDC Account Table'!$B$2</f>
        <v>LDCDUNS##</v>
      </c>
      <c r="H18" s="15" t="str">
        <f>'Supplier Account Table'!$B$2</f>
        <v>SUPDUNS##</v>
      </c>
      <c r="I18" s="179">
        <f>VLOOKUP(B18,File_Dates,2,FALSE)</f>
        <v>35978</v>
      </c>
      <c r="J18" s="12" t="s">
        <v>181</v>
      </c>
      <c r="K18" s="12" t="s">
        <v>216</v>
      </c>
      <c r="L18" s="12" t="str">
        <f>'Supplier Account Table'!A10</f>
        <v>S0000000000005</v>
      </c>
      <c r="M18" s="12" t="str">
        <f>'Test Customer Information'!A6</f>
        <v>D0000000000004</v>
      </c>
      <c r="N18" s="12" t="str">
        <f>LEFT(VLOOKUP(M18,Customer_File,3,FALSE),4)</f>
        <v>WILL</v>
      </c>
      <c r="O18" s="180">
        <f t="shared" si="1"/>
      </c>
      <c r="P18" s="12" t="s">
        <v>182</v>
      </c>
      <c r="Q18" s="32" t="s">
        <v>216</v>
      </c>
      <c r="R18" s="12" t="s">
        <v>361</v>
      </c>
      <c r="S18" s="12" t="s">
        <v>362</v>
      </c>
      <c r="T18" s="15" t="str">
        <f>VLOOKUP(M18,Customer_File,11,FALSE)</f>
        <v>D</v>
      </c>
      <c r="U18" s="15" t="str">
        <f>VLOOKUP(M18,Customer_File,14,FALSE)</f>
        <v>M000000005</v>
      </c>
      <c r="V18" s="16" t="s">
        <v>216</v>
      </c>
      <c r="W18" s="16" t="s">
        <v>216</v>
      </c>
      <c r="X18" s="16">
        <f t="shared" si="3"/>
      </c>
      <c r="Y18" s="12" t="s">
        <v>186</v>
      </c>
      <c r="Z18" s="32" t="s">
        <v>216</v>
      </c>
      <c r="AA18" s="32" t="s">
        <v>216</v>
      </c>
      <c r="AB18" s="32" t="s">
        <v>216</v>
      </c>
      <c r="AC18" s="32" t="s">
        <v>216</v>
      </c>
      <c r="AD18" s="32" t="s">
        <v>216</v>
      </c>
      <c r="AE18" s="32" t="s">
        <v>216</v>
      </c>
      <c r="AF18" s="32" t="s">
        <v>216</v>
      </c>
      <c r="AG18" s="32" t="s">
        <v>216</v>
      </c>
      <c r="AH18" s="32" t="s">
        <v>216</v>
      </c>
      <c r="AI18" s="32" t="s">
        <v>216</v>
      </c>
    </row>
    <row r="19" spans="1:35" ht="11.25">
      <c r="A19" s="100" t="str">
        <f t="shared" si="0"/>
        <v>1A6</v>
      </c>
      <c r="B19" s="12" t="s">
        <v>332</v>
      </c>
      <c r="C19" s="15">
        <v>6</v>
      </c>
      <c r="D19" s="30">
        <v>1</v>
      </c>
      <c r="E19" s="12" t="s">
        <v>436</v>
      </c>
      <c r="F19" s="31" t="s">
        <v>216</v>
      </c>
      <c r="G19" s="15" t="str">
        <f>'LDC Account Table'!$B$2</f>
        <v>LDCDUNS##</v>
      </c>
      <c r="H19" s="15" t="str">
        <f>'Supplier Account Table'!$B$2</f>
        <v>SUPDUNS##</v>
      </c>
      <c r="I19" s="179">
        <f>VLOOKUP(B19,File_Dates,2,FALSE)</f>
        <v>35978</v>
      </c>
      <c r="J19" s="12" t="s">
        <v>181</v>
      </c>
      <c r="K19" s="12" t="s">
        <v>216</v>
      </c>
      <c r="L19" s="12" t="str">
        <f>L18</f>
        <v>S0000000000005</v>
      </c>
      <c r="M19" s="12" t="str">
        <f>M18</f>
        <v>D0000000000004</v>
      </c>
      <c r="N19" s="12" t="str">
        <f>LEFT(VLOOKUP(M19,Customer_File,3,FALSE),4)</f>
        <v>WILL</v>
      </c>
      <c r="O19" s="180">
        <f t="shared" si="1"/>
      </c>
      <c r="P19" s="32" t="s">
        <v>216</v>
      </c>
      <c r="Q19" s="32" t="s">
        <v>216</v>
      </c>
      <c r="R19" s="12" t="s">
        <v>366</v>
      </c>
      <c r="S19" s="12" t="s">
        <v>365</v>
      </c>
      <c r="T19" s="15" t="str">
        <f>VLOOKUP(M19,Customer_File,11,FALSE)</f>
        <v>D</v>
      </c>
      <c r="U19" s="15" t="str">
        <f>VLOOKUP(M19,Customer_File,18,FALSE)</f>
        <v>M000000006</v>
      </c>
      <c r="V19" s="16" t="s">
        <v>216</v>
      </c>
      <c r="W19" s="16" t="s">
        <v>216</v>
      </c>
      <c r="X19" s="16">
        <f t="shared" si="3"/>
      </c>
      <c r="Y19" s="12" t="s">
        <v>186</v>
      </c>
      <c r="Z19" s="32" t="s">
        <v>216</v>
      </c>
      <c r="AA19" s="32" t="s">
        <v>216</v>
      </c>
      <c r="AB19" s="32" t="s">
        <v>216</v>
      </c>
      <c r="AC19" s="32" t="s">
        <v>216</v>
      </c>
      <c r="AD19" s="32" t="s">
        <v>216</v>
      </c>
      <c r="AE19" s="32" t="s">
        <v>216</v>
      </c>
      <c r="AF19" s="32" t="s">
        <v>216</v>
      </c>
      <c r="AG19" s="32" t="s">
        <v>216</v>
      </c>
      <c r="AH19" s="32" t="s">
        <v>216</v>
      </c>
      <c r="AI19" s="32" t="s">
        <v>216</v>
      </c>
    </row>
    <row r="20" spans="1:35" ht="11.25">
      <c r="A20" s="100" t="str">
        <f t="shared" si="0"/>
        <v>1B6</v>
      </c>
      <c r="B20" s="12" t="s">
        <v>333</v>
      </c>
      <c r="C20" s="15">
        <v>6</v>
      </c>
      <c r="D20" s="30">
        <v>4</v>
      </c>
      <c r="E20" s="12" t="s">
        <v>437</v>
      </c>
      <c r="F20" s="31" t="s">
        <v>216</v>
      </c>
      <c r="G20" s="15" t="str">
        <f>'LDC Account Table'!$B$2</f>
        <v>LDCDUNS##</v>
      </c>
      <c r="H20" s="15" t="str">
        <f>'Supplier Account Table'!$B$2</f>
        <v>SUPDUNS##</v>
      </c>
      <c r="I20" s="179">
        <f>VLOOKUP(B20,File_Dates,2,FALSE)</f>
        <v>35979</v>
      </c>
      <c r="J20" s="12" t="s">
        <v>181</v>
      </c>
      <c r="K20" s="12" t="s">
        <v>216</v>
      </c>
      <c r="L20" s="12" t="str">
        <f>L19</f>
        <v>S0000000000005</v>
      </c>
      <c r="M20" s="12" t="str">
        <f>M18</f>
        <v>D0000000000004</v>
      </c>
      <c r="N20" s="12" t="str">
        <f>LEFT(VLOOKUP(M20,Customer_File,3,FALSE),4)</f>
        <v>WILL</v>
      </c>
      <c r="O20" s="181">
        <f>IF(D20=4,VLOOKUP(VLOOKUP(M20,Customer_File,9,FALSE),July,2,FALSE),"")</f>
        <v>35986</v>
      </c>
      <c r="P20" s="15" t="s">
        <v>182</v>
      </c>
      <c r="Q20" s="32" t="s">
        <v>216</v>
      </c>
      <c r="R20" s="12" t="str">
        <f>R18</f>
        <v>G00</v>
      </c>
      <c r="S20" s="12" t="str">
        <f>S18</f>
        <v>G000001</v>
      </c>
      <c r="T20" s="15" t="str">
        <f>VLOOKUP(M20,Customer_File,11,FALSE)</f>
        <v>D</v>
      </c>
      <c r="U20" s="12" t="str">
        <f>IF(D20=4,VLOOKUP(M19,Customer_File,14,FALSE),"")</f>
        <v>M000000005</v>
      </c>
      <c r="V20" s="18">
        <v>100</v>
      </c>
      <c r="W20" s="16"/>
      <c r="X20" s="17">
        <f>VLOOKUP(M20,Customer_File,9,FALSE)</f>
        <v>7</v>
      </c>
      <c r="Y20" s="12" t="str">
        <f>IF(P20="C",VLOOKUP(M20,Customer_File,10,FALSE),"")</f>
        <v>N</v>
      </c>
      <c r="Z20" s="32" t="s">
        <v>216</v>
      </c>
      <c r="AA20" s="32" t="s">
        <v>216</v>
      </c>
      <c r="AB20" s="32" t="s">
        <v>216</v>
      </c>
      <c r="AC20" s="15" t="str">
        <f>VLOOKUP(M19,Customer_File,5,FALSE)</f>
        <v>100 STREET NAME</v>
      </c>
      <c r="AD20" s="15" t="str">
        <f>VLOOKUP(M19,Customer_File,6,FALSE)</f>
        <v> </v>
      </c>
      <c r="AE20" s="15" t="str">
        <f>LEFT(VLOOKUP(M20,Customer_File,7,FALSE),FIND(" ",VLOOKUP(M20,Customer_File,7,FALSE),1))</f>
        <v>TOWN </v>
      </c>
      <c r="AF20" s="15" t="s">
        <v>424</v>
      </c>
      <c r="AG20" s="15" t="str">
        <f>RIGHT(VLOOKUP(M20,Customer_File,7,FALSE),5)</f>
        <v>99999</v>
      </c>
      <c r="AH20" s="32" t="s">
        <v>216</v>
      </c>
      <c r="AI20" s="32" t="s">
        <v>216</v>
      </c>
    </row>
    <row r="21" spans="1:35" ht="11.25">
      <c r="A21" s="100" t="str">
        <f t="shared" si="0"/>
        <v>1B7</v>
      </c>
      <c r="B21" s="12" t="s">
        <v>333</v>
      </c>
      <c r="C21" s="15">
        <v>7</v>
      </c>
      <c r="D21" s="30">
        <v>4</v>
      </c>
      <c r="E21" s="12" t="s">
        <v>438</v>
      </c>
      <c r="F21" s="31" t="s">
        <v>216</v>
      </c>
      <c r="G21" s="15" t="str">
        <f>'LDC Account Table'!$B$2</f>
        <v>LDCDUNS##</v>
      </c>
      <c r="H21" s="15" t="str">
        <f>'Supplier Account Table'!$B$2</f>
        <v>SUPDUNS##</v>
      </c>
      <c r="I21" s="179">
        <f>VLOOKUP(B21,File_Dates,2,FALSE)</f>
        <v>35979</v>
      </c>
      <c r="J21" s="12" t="s">
        <v>181</v>
      </c>
      <c r="K21" s="12" t="s">
        <v>216</v>
      </c>
      <c r="L21" s="12" t="str">
        <f>L19</f>
        <v>S0000000000005</v>
      </c>
      <c r="M21" s="12" t="str">
        <f>M19</f>
        <v>D0000000000004</v>
      </c>
      <c r="N21" s="12" t="str">
        <f>LEFT(VLOOKUP(M21,Customer_File,3,FALSE),4)</f>
        <v>WILL</v>
      </c>
      <c r="O21" s="181">
        <f>IF(D21=4,VLOOKUP(VLOOKUP(M21,Customer_File,9,FALSE),July,2,FALSE),"")</f>
        <v>35986</v>
      </c>
      <c r="P21" s="12" t="s">
        <v>182</v>
      </c>
      <c r="Q21" s="32" t="s">
        <v>216</v>
      </c>
      <c r="R21" s="12" t="str">
        <f>R19</f>
        <v>R02</v>
      </c>
      <c r="S21" s="12" t="str">
        <f>S19</f>
        <v>R000002</v>
      </c>
      <c r="T21" s="15" t="str">
        <f>VLOOKUP(M21,Customer_File,11,FALSE)</f>
        <v>D</v>
      </c>
      <c r="U21" s="12" t="str">
        <f>VLOOKUP(M20,Customer_File,18,FALSE)</f>
        <v>M000000006</v>
      </c>
      <c r="V21" s="18">
        <v>100</v>
      </c>
      <c r="W21" s="16"/>
      <c r="X21" s="17">
        <f>VLOOKUP(M21,Customer_File,9,FALSE)</f>
        <v>7</v>
      </c>
      <c r="Y21" s="12" t="str">
        <f>IF(P21="C",VLOOKUP(M21,Customer_File,10,FALSE),"")</f>
        <v>N</v>
      </c>
      <c r="Z21" s="32" t="s">
        <v>216</v>
      </c>
      <c r="AA21" s="32" t="s">
        <v>216</v>
      </c>
      <c r="AB21" s="32" t="s">
        <v>216</v>
      </c>
      <c r="AC21" s="15" t="str">
        <f>VLOOKUP(M20,Customer_File,5,FALSE)</f>
        <v>100 STREET NAME</v>
      </c>
      <c r="AD21" s="15" t="str">
        <f>VLOOKUP(M20,Customer_File,6,FALSE)</f>
        <v> </v>
      </c>
      <c r="AE21" s="15" t="str">
        <f>LEFT(VLOOKUP(M21,Customer_File,7,FALSE),FIND(" ",VLOOKUP(M21,Customer_File,7,FALSE),1))</f>
        <v>TOWN </v>
      </c>
      <c r="AF21" s="15" t="s">
        <v>424</v>
      </c>
      <c r="AG21" s="15" t="str">
        <f>RIGHT(VLOOKUP(M21,Customer_File,7,FALSE),5)</f>
        <v>99999</v>
      </c>
      <c r="AH21" s="32" t="s">
        <v>216</v>
      </c>
      <c r="AI21" s="32" t="s">
        <v>216</v>
      </c>
    </row>
    <row r="22" spans="1:35" ht="5.25" customHeight="1">
      <c r="A22" s="100" t="str">
        <f>CONCATENATE(B22,C22)</f>
        <v>  </v>
      </c>
      <c r="B22" s="31" t="s">
        <v>216</v>
      </c>
      <c r="C22" s="31" t="s">
        <v>216</v>
      </c>
      <c r="D22" s="34" t="s">
        <v>216</v>
      </c>
      <c r="E22" s="31" t="s">
        <v>216</v>
      </c>
      <c r="F22" s="31" t="s">
        <v>216</v>
      </c>
      <c r="G22" s="31"/>
      <c r="H22" s="31"/>
      <c r="I22" s="182"/>
      <c r="J22" s="31" t="s">
        <v>216</v>
      </c>
      <c r="K22" s="31"/>
      <c r="L22" s="31" t="s">
        <v>216</v>
      </c>
      <c r="M22" s="31" t="s">
        <v>216</v>
      </c>
      <c r="N22" s="31" t="s">
        <v>216</v>
      </c>
      <c r="O22" s="182">
        <f t="shared" si="1"/>
      </c>
      <c r="P22" s="31" t="s">
        <v>216</v>
      </c>
      <c r="Q22" s="31" t="s">
        <v>216</v>
      </c>
      <c r="R22" s="31" t="s">
        <v>216</v>
      </c>
      <c r="S22" s="31" t="s">
        <v>216</v>
      </c>
      <c r="T22" s="31" t="s">
        <v>216</v>
      </c>
      <c r="U22" s="31">
        <f t="shared" si="2"/>
      </c>
      <c r="V22" s="35"/>
      <c r="W22" s="35" t="s">
        <v>216</v>
      </c>
      <c r="X22" s="35">
        <f aca="true" t="shared" si="5" ref="X22:X28">IF(AND(D22=4,P22="C"),VLOOKUP(M22,Customer_File,3,FALSE),"")</f>
      </c>
      <c r="Y22" s="31">
        <f>IF(P22="C",VLOOKUP(M22,Customer_File,4,FALSE),"")</f>
      </c>
      <c r="Z22" s="31" t="s">
        <v>216</v>
      </c>
      <c r="AA22" s="31" t="s">
        <v>216</v>
      </c>
      <c r="AB22" s="31" t="s">
        <v>216</v>
      </c>
      <c r="AC22" s="31" t="s">
        <v>216</v>
      </c>
      <c r="AD22" s="31" t="s">
        <v>216</v>
      </c>
      <c r="AE22" s="31" t="s">
        <v>216</v>
      </c>
      <c r="AF22" s="31" t="s">
        <v>216</v>
      </c>
      <c r="AG22" s="31" t="s">
        <v>216</v>
      </c>
      <c r="AH22" s="31" t="s">
        <v>216</v>
      </c>
      <c r="AI22" s="31" t="s">
        <v>216</v>
      </c>
    </row>
    <row r="23" spans="1:35" ht="11.25">
      <c r="A23" s="100" t="str">
        <f>CONCATENATE(B23,C23)</f>
        <v>1A7</v>
      </c>
      <c r="B23" s="12" t="s">
        <v>332</v>
      </c>
      <c r="C23" s="15">
        <v>7</v>
      </c>
      <c r="D23" s="30">
        <v>1</v>
      </c>
      <c r="E23" s="12" t="s">
        <v>439</v>
      </c>
      <c r="F23" s="31" t="s">
        <v>216</v>
      </c>
      <c r="G23" s="15" t="str">
        <f>'LDC Account Table'!$B$2</f>
        <v>LDCDUNS##</v>
      </c>
      <c r="H23" s="15" t="str">
        <f>'Supplier Account Table'!$B$2</f>
        <v>SUPDUNS##</v>
      </c>
      <c r="I23" s="179">
        <f>VLOOKUP(B23,File_Dates,2,FALSE)</f>
        <v>35978</v>
      </c>
      <c r="J23" s="12" t="s">
        <v>181</v>
      </c>
      <c r="K23" s="12" t="s">
        <v>216</v>
      </c>
      <c r="L23" s="12" t="str">
        <f>'Supplier Account Table'!A11</f>
        <v>S0000000000006</v>
      </c>
      <c r="M23" s="12" t="str">
        <f>'Test Customer Information'!A7</f>
        <v>D0000000000005</v>
      </c>
      <c r="N23" s="12" t="str">
        <f>LEFT(VLOOKUP(M23,Customer_File,3,FALSE),4)</f>
        <v>ENDI</v>
      </c>
      <c r="O23" s="180">
        <f aca="true" t="shared" si="6" ref="O23:O28">IF(D23=4,VLOOKUP(VLOOKUP(M23,Customer_File,3,FALSE),July,2,FALSE),"")</f>
      </c>
      <c r="P23" s="12" t="s">
        <v>182</v>
      </c>
      <c r="Q23" s="32" t="s">
        <v>216</v>
      </c>
      <c r="R23" s="12" t="s">
        <v>361</v>
      </c>
      <c r="S23" s="12" t="s">
        <v>362</v>
      </c>
      <c r="T23" s="15" t="str">
        <f>VLOOKUP(M23,Customer_File,11,FALSE)</f>
        <v>D</v>
      </c>
      <c r="U23" s="15" t="str">
        <f>VLOOKUP(M23,Customer_File,14,FALSE)</f>
        <v>M000000007</v>
      </c>
      <c r="V23" s="16" t="s">
        <v>216</v>
      </c>
      <c r="W23" s="16" t="s">
        <v>216</v>
      </c>
      <c r="X23" s="16">
        <f t="shared" si="5"/>
      </c>
      <c r="Y23" s="12" t="str">
        <f>IF(P23="C",VLOOKUP(M23,Customer_File,10,FALSE),"")</f>
        <v>Y</v>
      </c>
      <c r="Z23" s="32" t="s">
        <v>216</v>
      </c>
      <c r="AA23" s="32" t="s">
        <v>216</v>
      </c>
      <c r="AB23" s="32" t="s">
        <v>216</v>
      </c>
      <c r="AC23" s="32" t="s">
        <v>216</v>
      </c>
      <c r="AD23" s="32" t="s">
        <v>216</v>
      </c>
      <c r="AE23" s="32" t="s">
        <v>216</v>
      </c>
      <c r="AF23" s="32" t="s">
        <v>216</v>
      </c>
      <c r="AG23" s="32" t="s">
        <v>216</v>
      </c>
      <c r="AH23" s="32" t="s">
        <v>216</v>
      </c>
      <c r="AI23" s="32" t="s">
        <v>216</v>
      </c>
    </row>
    <row r="24" spans="1:35" ht="11.25">
      <c r="A24" s="100" t="str">
        <f>CONCATENATE(B24,C24)</f>
        <v>1A8</v>
      </c>
      <c r="B24" s="12" t="s">
        <v>332</v>
      </c>
      <c r="C24" s="15">
        <v>8</v>
      </c>
      <c r="D24" s="30">
        <v>1</v>
      </c>
      <c r="E24" s="12" t="s">
        <v>440</v>
      </c>
      <c r="F24" s="31" t="s">
        <v>216</v>
      </c>
      <c r="G24" s="15" t="str">
        <f>'LDC Account Table'!$B$2</f>
        <v>LDCDUNS##</v>
      </c>
      <c r="H24" s="15" t="str">
        <f>'Supplier Account Table'!$B$2</f>
        <v>SUPDUNS##</v>
      </c>
      <c r="I24" s="179">
        <f>VLOOKUP(B24,File_Dates,2,FALSE)</f>
        <v>35978</v>
      </c>
      <c r="J24" s="12" t="s">
        <v>181</v>
      </c>
      <c r="K24" s="12" t="s">
        <v>216</v>
      </c>
      <c r="L24" s="12" t="str">
        <f>L23</f>
        <v>S0000000000006</v>
      </c>
      <c r="M24" s="12" t="str">
        <f>M23</f>
        <v>D0000000000005</v>
      </c>
      <c r="N24" s="12" t="str">
        <f>LEFT(VLOOKUP(M24,Customer_File,3,FALSE),4)</f>
        <v>ENDI</v>
      </c>
      <c r="O24" s="180">
        <f t="shared" si="6"/>
      </c>
      <c r="P24" s="12" t="s">
        <v>182</v>
      </c>
      <c r="Q24" s="32" t="s">
        <v>216</v>
      </c>
      <c r="R24" s="12" t="s">
        <v>366</v>
      </c>
      <c r="S24" s="12" t="s">
        <v>365</v>
      </c>
      <c r="T24" s="15" t="s">
        <v>181</v>
      </c>
      <c r="U24" s="15" t="s">
        <v>441</v>
      </c>
      <c r="V24" s="16" t="s">
        <v>216</v>
      </c>
      <c r="W24" s="16" t="s">
        <v>216</v>
      </c>
      <c r="X24" s="16">
        <f t="shared" si="5"/>
      </c>
      <c r="Y24" s="12" t="str">
        <f>IF(P24="C",VLOOKUP(M24,Customer_File,10,FALSE),"")</f>
        <v>Y</v>
      </c>
      <c r="Z24" s="32" t="s">
        <v>216</v>
      </c>
      <c r="AA24" s="32" t="s">
        <v>216</v>
      </c>
      <c r="AB24" s="32" t="s">
        <v>216</v>
      </c>
      <c r="AC24" s="32" t="s">
        <v>216</v>
      </c>
      <c r="AD24" s="32" t="s">
        <v>216</v>
      </c>
      <c r="AE24" s="32" t="s">
        <v>216</v>
      </c>
      <c r="AF24" s="32" t="s">
        <v>216</v>
      </c>
      <c r="AG24" s="32" t="s">
        <v>216</v>
      </c>
      <c r="AH24" s="32" t="s">
        <v>216</v>
      </c>
      <c r="AI24" s="32" t="s">
        <v>216</v>
      </c>
    </row>
    <row r="25" spans="1:35" ht="11.25">
      <c r="A25" s="100" t="str">
        <f>CONCATENATE(B25,C25)</f>
        <v>1B8</v>
      </c>
      <c r="B25" s="12" t="s">
        <v>333</v>
      </c>
      <c r="C25" s="15">
        <v>8</v>
      </c>
      <c r="D25" s="30">
        <v>6</v>
      </c>
      <c r="E25" s="12" t="s">
        <v>442</v>
      </c>
      <c r="F25" s="31" t="s">
        <v>216</v>
      </c>
      <c r="G25" s="15" t="str">
        <f>'LDC Account Table'!$B$2</f>
        <v>LDCDUNS##</v>
      </c>
      <c r="H25" s="15" t="str">
        <f>'Supplier Account Table'!$B$2</f>
        <v>SUPDUNS##</v>
      </c>
      <c r="I25" s="179">
        <f>VLOOKUP(B25,File_Dates,2,FALSE)</f>
        <v>35979</v>
      </c>
      <c r="J25" s="12" t="s">
        <v>185</v>
      </c>
      <c r="K25" s="12" t="s">
        <v>216</v>
      </c>
      <c r="L25" s="12" t="str">
        <f>L24</f>
        <v>S0000000000006</v>
      </c>
      <c r="M25" s="12" t="str">
        <f>M23</f>
        <v>D0000000000005</v>
      </c>
      <c r="N25" s="12" t="str">
        <f>LEFT(VLOOKUP(M25,Customer_File,3,FALSE),4)</f>
        <v>ENDI</v>
      </c>
      <c r="O25" s="180">
        <f t="shared" si="6"/>
      </c>
      <c r="P25" s="32" t="s">
        <v>216</v>
      </c>
      <c r="Q25" s="32" t="s">
        <v>216</v>
      </c>
      <c r="R25" s="32" t="s">
        <v>216</v>
      </c>
      <c r="S25" s="32" t="s">
        <v>216</v>
      </c>
      <c r="T25" s="32" t="s">
        <v>216</v>
      </c>
      <c r="U25" s="32" t="s">
        <v>216</v>
      </c>
      <c r="V25" s="17">
        <v>999</v>
      </c>
      <c r="W25" s="17" t="s">
        <v>443</v>
      </c>
      <c r="X25" s="16">
        <f t="shared" si="5"/>
      </c>
      <c r="Y25" s="32" t="s">
        <v>216</v>
      </c>
      <c r="Z25" s="32" t="s">
        <v>216</v>
      </c>
      <c r="AA25" s="32" t="s">
        <v>216</v>
      </c>
      <c r="AB25" s="32" t="s">
        <v>216</v>
      </c>
      <c r="AC25" s="32" t="s">
        <v>216</v>
      </c>
      <c r="AD25" s="32" t="s">
        <v>216</v>
      </c>
      <c r="AE25" s="32" t="s">
        <v>216</v>
      </c>
      <c r="AF25" s="32" t="s">
        <v>216</v>
      </c>
      <c r="AG25" s="32" t="s">
        <v>216</v>
      </c>
      <c r="AH25" s="32" t="s">
        <v>216</v>
      </c>
      <c r="AI25" s="32" t="s">
        <v>216</v>
      </c>
    </row>
    <row r="26" spans="1:35" ht="5.25" customHeight="1">
      <c r="A26" s="100" t="str">
        <f aca="true" t="shared" si="7" ref="A26:A34">CONCATENATE(B26,C26)</f>
        <v>  </v>
      </c>
      <c r="B26" s="31" t="s">
        <v>216</v>
      </c>
      <c r="C26" s="31" t="s">
        <v>216</v>
      </c>
      <c r="D26" s="34" t="s">
        <v>216</v>
      </c>
      <c r="E26" s="31" t="s">
        <v>216</v>
      </c>
      <c r="F26" s="31" t="s">
        <v>216</v>
      </c>
      <c r="G26" s="31"/>
      <c r="H26" s="31"/>
      <c r="I26" s="182"/>
      <c r="J26" s="31" t="s">
        <v>216</v>
      </c>
      <c r="K26" s="31"/>
      <c r="L26" s="31" t="s">
        <v>216</v>
      </c>
      <c r="M26" s="31" t="s">
        <v>216</v>
      </c>
      <c r="N26" s="31" t="s">
        <v>216</v>
      </c>
      <c r="O26" s="182">
        <f t="shared" si="6"/>
      </c>
      <c r="P26" s="31" t="s">
        <v>216</v>
      </c>
      <c r="Q26" s="31" t="s">
        <v>216</v>
      </c>
      <c r="R26" s="31" t="s">
        <v>216</v>
      </c>
      <c r="S26" s="31" t="s">
        <v>216</v>
      </c>
      <c r="T26" s="31" t="s">
        <v>216</v>
      </c>
      <c r="U26" s="31">
        <f>IF(D26=4,VLOOKUP(#REF!,Customer_File,7,FALSE),"")</f>
      </c>
      <c r="V26" s="35"/>
      <c r="W26" s="35" t="s">
        <v>216</v>
      </c>
      <c r="X26" s="35">
        <f t="shared" si="5"/>
      </c>
      <c r="Y26" s="31">
        <f>IF(P26="C",VLOOKUP(M26,Customer_File,4,FALSE),"")</f>
      </c>
      <c r="Z26" s="31" t="s">
        <v>216</v>
      </c>
      <c r="AA26" s="31" t="s">
        <v>216</v>
      </c>
      <c r="AB26" s="31" t="s">
        <v>216</v>
      </c>
      <c r="AC26" s="31" t="s">
        <v>216</v>
      </c>
      <c r="AD26" s="31" t="s">
        <v>216</v>
      </c>
      <c r="AE26" s="31" t="s">
        <v>216</v>
      </c>
      <c r="AF26" s="31" t="s">
        <v>216</v>
      </c>
      <c r="AG26" s="31" t="s">
        <v>216</v>
      </c>
      <c r="AH26" s="31" t="s">
        <v>216</v>
      </c>
      <c r="AI26" s="31" t="s">
        <v>216</v>
      </c>
    </row>
    <row r="27" spans="1:35" ht="11.25">
      <c r="A27" s="100" t="str">
        <f t="shared" si="7"/>
        <v>1A9</v>
      </c>
      <c r="B27" s="15" t="s">
        <v>332</v>
      </c>
      <c r="C27" s="15">
        <v>9</v>
      </c>
      <c r="D27" s="37">
        <v>1</v>
      </c>
      <c r="E27" s="15" t="s">
        <v>444</v>
      </c>
      <c r="F27" s="31" t="s">
        <v>216</v>
      </c>
      <c r="G27" s="15" t="str">
        <f>'LDC Account Table'!$B$2</f>
        <v>LDCDUNS##</v>
      </c>
      <c r="H27" s="15" t="str">
        <f>'Supplier Account Table'!$B$2</f>
        <v>SUPDUNS##</v>
      </c>
      <c r="I27" s="179">
        <f>VLOOKUP(B27,File_Dates,2,FALSE)</f>
        <v>35978</v>
      </c>
      <c r="J27" s="15" t="s">
        <v>181</v>
      </c>
      <c r="K27" s="15" t="s">
        <v>216</v>
      </c>
      <c r="L27" s="12" t="str">
        <f>'Supplier Account Table'!A12</f>
        <v>S0000000000007</v>
      </c>
      <c r="M27" s="15" t="str">
        <f>'Test Customer Information'!A8</f>
        <v>D0000000000006</v>
      </c>
      <c r="N27" s="12" t="str">
        <f>LEFT(VLOOKUP(M27,Customer_File,3,FALSE),4)</f>
        <v>ZURC</v>
      </c>
      <c r="O27" s="180">
        <f t="shared" si="6"/>
      </c>
      <c r="P27" s="15" t="s">
        <v>426</v>
      </c>
      <c r="Q27" s="32" t="s">
        <v>216</v>
      </c>
      <c r="R27" s="32" t="s">
        <v>216</v>
      </c>
      <c r="S27" s="32" t="s">
        <v>216</v>
      </c>
      <c r="T27" s="15" t="s">
        <v>421</v>
      </c>
      <c r="U27" s="32">
        <f>IF(D27=4,VLOOKUP(M26,Customer_File,7,FALSE),"")</f>
      </c>
      <c r="V27" s="16" t="s">
        <v>216</v>
      </c>
      <c r="W27" s="16" t="s">
        <v>216</v>
      </c>
      <c r="X27" s="16">
        <f t="shared" si="5"/>
      </c>
      <c r="Y27" s="32">
        <f>IF(P27="C",VLOOKUP(M27,Customer_File,4,FALSE),"")</f>
      </c>
      <c r="Z27" s="32" t="s">
        <v>216</v>
      </c>
      <c r="AA27" s="32" t="s">
        <v>216</v>
      </c>
      <c r="AB27" s="32" t="s">
        <v>216</v>
      </c>
      <c r="AC27" s="32" t="s">
        <v>216</v>
      </c>
      <c r="AD27" s="32" t="s">
        <v>216</v>
      </c>
      <c r="AE27" s="32" t="s">
        <v>216</v>
      </c>
      <c r="AF27" s="32" t="s">
        <v>216</v>
      </c>
      <c r="AG27" s="32" t="s">
        <v>216</v>
      </c>
      <c r="AH27" s="32" t="s">
        <v>216</v>
      </c>
      <c r="AI27" s="32" t="s">
        <v>216</v>
      </c>
    </row>
    <row r="28" spans="1:35" ht="11.25">
      <c r="A28" s="100" t="str">
        <f t="shared" si="7"/>
        <v>2A8</v>
      </c>
      <c r="B28" s="15" t="s">
        <v>64</v>
      </c>
      <c r="C28" s="15">
        <v>8</v>
      </c>
      <c r="D28" s="37">
        <v>8</v>
      </c>
      <c r="E28" s="15" t="s">
        <v>445</v>
      </c>
      <c r="F28" s="31" t="s">
        <v>216</v>
      </c>
      <c r="G28" s="15" t="str">
        <f>'LDC Account Table'!$B$2</f>
        <v>LDCDUNS##</v>
      </c>
      <c r="H28" s="15" t="str">
        <f>'Supplier Account Table'!$B$2</f>
        <v>SUPDUNS##</v>
      </c>
      <c r="I28" s="179">
        <f>VLOOKUP(B28,File_Dates,2,FALSE)</f>
        <v>35979</v>
      </c>
      <c r="J28" s="15" t="s">
        <v>183</v>
      </c>
      <c r="K28" s="15" t="s">
        <v>216</v>
      </c>
      <c r="L28" s="15" t="str">
        <f>L27</f>
        <v>S0000000000007</v>
      </c>
      <c r="M28" s="15" t="str">
        <f>M27</f>
        <v>D0000000000006</v>
      </c>
      <c r="N28" s="12" t="str">
        <f>LEFT(VLOOKUP(M28,Customer_File,3,FALSE),4)</f>
        <v>ZURC</v>
      </c>
      <c r="O28" s="180">
        <f t="shared" si="6"/>
      </c>
      <c r="P28" s="32" t="s">
        <v>216</v>
      </c>
      <c r="Q28" s="32" t="s">
        <v>216</v>
      </c>
      <c r="R28" s="32" t="s">
        <v>216</v>
      </c>
      <c r="S28" s="32" t="s">
        <v>216</v>
      </c>
      <c r="T28" s="32" t="s">
        <v>216</v>
      </c>
      <c r="U28" s="32">
        <f>IF(D28=4,VLOOKUP(M27,Customer_File,7,FALSE),"")</f>
      </c>
      <c r="V28" s="16" t="s">
        <v>216</v>
      </c>
      <c r="W28" s="16" t="s">
        <v>216</v>
      </c>
      <c r="X28" s="16">
        <f t="shared" si="5"/>
      </c>
      <c r="Y28" s="32">
        <f>IF(P28="C",VLOOKUP(M28,Customer_File,4,FALSE),"")</f>
      </c>
      <c r="Z28" s="32" t="s">
        <v>216</v>
      </c>
      <c r="AA28" s="32" t="s">
        <v>216</v>
      </c>
      <c r="AB28" s="32" t="s">
        <v>216</v>
      </c>
      <c r="AC28" s="32" t="s">
        <v>216</v>
      </c>
      <c r="AD28" s="32" t="s">
        <v>216</v>
      </c>
      <c r="AE28" s="32" t="s">
        <v>216</v>
      </c>
      <c r="AF28" s="32" t="s">
        <v>216</v>
      </c>
      <c r="AG28" s="32" t="s">
        <v>216</v>
      </c>
      <c r="AH28" s="32" t="s">
        <v>216</v>
      </c>
      <c r="AI28" s="32" t="s">
        <v>216</v>
      </c>
    </row>
    <row r="29" spans="1:35" ht="11.25">
      <c r="A29" s="100" t="str">
        <f t="shared" si="7"/>
        <v>1B10</v>
      </c>
      <c r="B29" s="15" t="s">
        <v>333</v>
      </c>
      <c r="C29" s="15">
        <v>10</v>
      </c>
      <c r="D29" s="37">
        <v>4</v>
      </c>
      <c r="E29" s="15" t="s">
        <v>446</v>
      </c>
      <c r="F29" s="31" t="s">
        <v>216</v>
      </c>
      <c r="G29" s="15" t="str">
        <f>'LDC Account Table'!$B$2</f>
        <v>LDCDUNS##</v>
      </c>
      <c r="H29" s="15" t="str">
        <f>'Supplier Account Table'!$B$2</f>
        <v>SUPDUNS##</v>
      </c>
      <c r="I29" s="179">
        <f>VLOOKUP(B29,File_Dates,2,FALSE)</f>
        <v>35979</v>
      </c>
      <c r="J29" s="15" t="s">
        <v>181</v>
      </c>
      <c r="K29" s="15" t="s">
        <v>216</v>
      </c>
      <c r="L29" s="15" t="str">
        <f>L27</f>
        <v>S0000000000007</v>
      </c>
      <c r="M29" s="15" t="str">
        <f>M27</f>
        <v>D0000000000006</v>
      </c>
      <c r="N29" s="12" t="str">
        <f>LEFT(VLOOKUP(M29,Customer_File,3,FALSE),4)</f>
        <v>ZURC</v>
      </c>
      <c r="O29" s="181">
        <f>IF(D29=4,VLOOKUP(VLOOKUP(M29,Customer_File,9,FALSE),July,2,FALSE),"")</f>
        <v>36003</v>
      </c>
      <c r="P29" s="15" t="s">
        <v>426</v>
      </c>
      <c r="Q29" s="32" t="s">
        <v>216</v>
      </c>
      <c r="R29" s="32" t="s">
        <v>216</v>
      </c>
      <c r="S29" s="32" t="s">
        <v>216</v>
      </c>
      <c r="T29" s="15" t="str">
        <f>VLOOKUP(M29,Customer_File,11,FALSE)</f>
        <v>D</v>
      </c>
      <c r="U29" s="12" t="str">
        <f>IF(D29=4,VLOOKUP(M28,Customer_File,14,FALSE),"")</f>
        <v>M000000009</v>
      </c>
      <c r="V29" s="18">
        <v>100</v>
      </c>
      <c r="W29" s="16"/>
      <c r="X29" s="17">
        <f>VLOOKUP(M29,Customer_File,9,FALSE)</f>
        <v>18</v>
      </c>
      <c r="Y29" s="32">
        <f>IF(P29="C",VLOOKUP(M29,Customer_File,4,FALSE),"")</f>
      </c>
      <c r="Z29" s="32" t="s">
        <v>216</v>
      </c>
      <c r="AA29" s="32" t="s">
        <v>216</v>
      </c>
      <c r="AB29" s="32" t="s">
        <v>216</v>
      </c>
      <c r="AC29" s="15" t="str">
        <f>VLOOKUP(M28,Customer_File,5,FALSE)</f>
        <v>102 STREET NAME</v>
      </c>
      <c r="AD29" s="15" t="str">
        <f>VLOOKUP(M28,Customer_File,6,FALSE)</f>
        <v> </v>
      </c>
      <c r="AE29" s="15" t="str">
        <f>LEFT(VLOOKUP(M29,Customer_File,7,FALSE),FIND(" ",VLOOKUP(M29,Customer_File,7,FALSE),1))</f>
        <v>TOWN </v>
      </c>
      <c r="AF29" s="15" t="s">
        <v>424</v>
      </c>
      <c r="AG29" s="15" t="str">
        <f>RIGHT(VLOOKUP(M29,Customer_File,7,FALSE),5)</f>
        <v>99999</v>
      </c>
      <c r="AH29" s="32" t="s">
        <v>216</v>
      </c>
      <c r="AI29" s="32" t="s">
        <v>216</v>
      </c>
    </row>
    <row r="30" spans="1:35" ht="11.25">
      <c r="A30" s="100" t="str">
        <f t="shared" si="7"/>
        <v>2B11</v>
      </c>
      <c r="B30" s="15" t="s">
        <v>50</v>
      </c>
      <c r="C30" s="15">
        <v>11</v>
      </c>
      <c r="D30" s="37">
        <v>9</v>
      </c>
      <c r="E30" s="15" t="s">
        <v>447</v>
      </c>
      <c r="F30" s="31" t="s">
        <v>216</v>
      </c>
      <c r="G30" s="15" t="str">
        <f>'LDC Account Table'!$B$2</f>
        <v>LDCDUNS##</v>
      </c>
      <c r="H30" s="15" t="str">
        <f>'Supplier Account Table'!$B$2</f>
        <v>SUPDUNS##</v>
      </c>
      <c r="I30" s="179">
        <f>VLOOKUP(B30,File_Dates,2,FALSE)</f>
        <v>35982</v>
      </c>
      <c r="J30" s="15" t="s">
        <v>188</v>
      </c>
      <c r="K30" s="15" t="s">
        <v>216</v>
      </c>
      <c r="L30" s="15" t="str">
        <f>L27</f>
        <v>S0000000000007</v>
      </c>
      <c r="M30" s="15" t="str">
        <f>M27</f>
        <v>D0000000000006</v>
      </c>
      <c r="N30" s="12" t="str">
        <f>LEFT(VLOOKUP(M30,Customer_File,3,FALSE),4)</f>
        <v>ZURC</v>
      </c>
      <c r="O30" s="181">
        <f>VLOOKUP(B30,Process_Date,2)</f>
        <v>35982</v>
      </c>
      <c r="P30" s="32" t="s">
        <v>216</v>
      </c>
      <c r="Q30" s="32" t="s">
        <v>216</v>
      </c>
      <c r="R30" s="32" t="s">
        <v>216</v>
      </c>
      <c r="S30" s="32" t="s">
        <v>216</v>
      </c>
      <c r="T30" s="32" t="s">
        <v>216</v>
      </c>
      <c r="U30" s="32">
        <f>IF(D30=4,VLOOKUP(M29,Customer_File,7,FALSE),"")</f>
      </c>
      <c r="V30" s="17">
        <v>100</v>
      </c>
      <c r="W30" s="16"/>
      <c r="X30" s="16" t="s">
        <v>216</v>
      </c>
      <c r="Y30" s="32">
        <f>IF(P30="C",VLOOKUP(M30,Customer_File,4,FALSE),"")</f>
      </c>
      <c r="Z30" s="32" t="s">
        <v>216</v>
      </c>
      <c r="AA30" s="32" t="s">
        <v>216</v>
      </c>
      <c r="AB30" s="32" t="s">
        <v>216</v>
      </c>
      <c r="AC30" s="32" t="s">
        <v>216</v>
      </c>
      <c r="AD30" s="32" t="s">
        <v>216</v>
      </c>
      <c r="AE30" s="32" t="s">
        <v>216</v>
      </c>
      <c r="AF30" s="32" t="s">
        <v>216</v>
      </c>
      <c r="AG30" s="32" t="s">
        <v>216</v>
      </c>
      <c r="AH30" s="32" t="s">
        <v>216</v>
      </c>
      <c r="AI30" s="32" t="s">
        <v>216</v>
      </c>
    </row>
    <row r="31" spans="1:35" ht="5.25" customHeight="1">
      <c r="A31" s="100" t="str">
        <f t="shared" si="7"/>
        <v>  </v>
      </c>
      <c r="B31" s="31" t="s">
        <v>216</v>
      </c>
      <c r="C31" s="31" t="s">
        <v>216</v>
      </c>
      <c r="D31" s="34" t="s">
        <v>216</v>
      </c>
      <c r="E31" s="31" t="s">
        <v>216</v>
      </c>
      <c r="F31" s="31" t="s">
        <v>216</v>
      </c>
      <c r="G31" s="31"/>
      <c r="H31" s="31"/>
      <c r="I31" s="182"/>
      <c r="J31" s="31" t="s">
        <v>216</v>
      </c>
      <c r="K31" s="31"/>
      <c r="L31" s="31" t="s">
        <v>216</v>
      </c>
      <c r="M31" s="31" t="s">
        <v>216</v>
      </c>
      <c r="N31" s="31" t="s">
        <v>216</v>
      </c>
      <c r="O31" s="182" t="s">
        <v>216</v>
      </c>
      <c r="P31" s="31" t="s">
        <v>216</v>
      </c>
      <c r="Q31" s="31" t="s">
        <v>216</v>
      </c>
      <c r="R31" s="31" t="s">
        <v>216</v>
      </c>
      <c r="S31" s="31" t="s">
        <v>216</v>
      </c>
      <c r="T31" s="31" t="s">
        <v>216</v>
      </c>
      <c r="U31" s="31" t="s">
        <v>216</v>
      </c>
      <c r="V31" s="35"/>
      <c r="W31" s="35" t="s">
        <v>216</v>
      </c>
      <c r="X31" s="35" t="s">
        <v>216</v>
      </c>
      <c r="Y31" s="31" t="s">
        <v>216</v>
      </c>
      <c r="Z31" s="31" t="s">
        <v>216</v>
      </c>
      <c r="AA31" s="31" t="s">
        <v>216</v>
      </c>
      <c r="AB31" s="31" t="s">
        <v>216</v>
      </c>
      <c r="AC31" s="31" t="s">
        <v>216</v>
      </c>
      <c r="AD31" s="31" t="s">
        <v>216</v>
      </c>
      <c r="AE31" s="31" t="s">
        <v>216</v>
      </c>
      <c r="AF31" s="31" t="s">
        <v>216</v>
      </c>
      <c r="AG31" s="31" t="s">
        <v>216</v>
      </c>
      <c r="AH31" s="31" t="s">
        <v>216</v>
      </c>
      <c r="AI31" s="31" t="s">
        <v>216</v>
      </c>
    </row>
    <row r="32" spans="1:35" ht="11.25">
      <c r="A32" s="100" t="str">
        <f t="shared" si="7"/>
        <v>2A1</v>
      </c>
      <c r="B32" s="15" t="s">
        <v>64</v>
      </c>
      <c r="C32" s="15">
        <v>1</v>
      </c>
      <c r="D32" s="37">
        <v>2</v>
      </c>
      <c r="E32" s="15" t="s">
        <v>448</v>
      </c>
      <c r="F32" s="31" t="s">
        <v>216</v>
      </c>
      <c r="G32" s="15" t="str">
        <f>'LDC Account Table'!$B$2</f>
        <v>LDCDUNS##</v>
      </c>
      <c r="H32" s="15" t="str">
        <f>'Supplier Account Table'!$B$2</f>
        <v>SUPDUNS##</v>
      </c>
      <c r="I32" s="179">
        <f>VLOOKUP(B32,File_Dates,2,FALSE)</f>
        <v>35979</v>
      </c>
      <c r="J32" s="15" t="s">
        <v>182</v>
      </c>
      <c r="K32" s="15" t="s">
        <v>216</v>
      </c>
      <c r="L32" s="39" t="str">
        <f>'Supplier Account Table'!A6</f>
        <v>S0000000000002</v>
      </c>
      <c r="M32" s="15" t="str">
        <f>'Test Customer Information'!A3</f>
        <v>D0000000000002</v>
      </c>
      <c r="N32" s="12" t="str">
        <f>LEFT(VLOOKUP(M32,Customer_File,3,FALSE),4)</f>
        <v>SMIT</v>
      </c>
      <c r="O32" s="180">
        <f>IF(D32=4,VLOOKUP(VLOOKUP(M32,Customer_File,3,FALSE),July,2,FALSE),"")</f>
      </c>
      <c r="P32" s="15" t="s">
        <v>182</v>
      </c>
      <c r="Q32" s="32" t="s">
        <v>216</v>
      </c>
      <c r="R32" s="32" t="s">
        <v>216</v>
      </c>
      <c r="S32" s="32" t="s">
        <v>216</v>
      </c>
      <c r="T32" s="32" t="s">
        <v>216</v>
      </c>
      <c r="U32" s="32">
        <f>IF(D32=4,VLOOKUP(M31,Customer_File,7,FALSE),"")</f>
      </c>
      <c r="V32" s="16" t="s">
        <v>216</v>
      </c>
      <c r="W32" s="16" t="s">
        <v>216</v>
      </c>
      <c r="X32" s="16">
        <f>IF(AND(D32=4,P32="C"),VLOOKUP(M32,Customer_File,3,FALSE),"")</f>
      </c>
      <c r="Y32" s="32" t="s">
        <v>216</v>
      </c>
      <c r="Z32" s="32" t="s">
        <v>216</v>
      </c>
      <c r="AA32" s="32" t="s">
        <v>216</v>
      </c>
      <c r="AB32" s="32" t="s">
        <v>216</v>
      </c>
      <c r="AC32" s="32" t="s">
        <v>216</v>
      </c>
      <c r="AD32" s="32" t="s">
        <v>216</v>
      </c>
      <c r="AE32" s="32" t="s">
        <v>216</v>
      </c>
      <c r="AF32" s="32" t="s">
        <v>216</v>
      </c>
      <c r="AG32" s="32" t="s">
        <v>216</v>
      </c>
      <c r="AH32" s="32" t="s">
        <v>216</v>
      </c>
      <c r="AI32" s="32" t="s">
        <v>216</v>
      </c>
    </row>
    <row r="33" spans="1:35" ht="11.25">
      <c r="A33" s="100" t="str">
        <f t="shared" si="7"/>
        <v>2B1</v>
      </c>
      <c r="B33" s="15" t="s">
        <v>50</v>
      </c>
      <c r="C33" s="15">
        <v>1</v>
      </c>
      <c r="D33" s="37">
        <v>6</v>
      </c>
      <c r="E33" s="15" t="s">
        <v>449</v>
      </c>
      <c r="F33" s="31" t="s">
        <v>216</v>
      </c>
      <c r="G33" s="15" t="str">
        <f>'LDC Account Table'!$B$2</f>
        <v>LDCDUNS##</v>
      </c>
      <c r="H33" s="15" t="str">
        <f>'Supplier Account Table'!$B$2</f>
        <v>SUPDUNS##</v>
      </c>
      <c r="I33" s="179">
        <f>VLOOKUP(B33,File_Dates,2,FALSE)</f>
        <v>35982</v>
      </c>
      <c r="J33" s="15" t="s">
        <v>185</v>
      </c>
      <c r="K33" s="15" t="s">
        <v>216</v>
      </c>
      <c r="L33" s="39" t="str">
        <f>L32</f>
        <v>S0000000000002</v>
      </c>
      <c r="M33" s="15" t="str">
        <f>M32</f>
        <v>D0000000000002</v>
      </c>
      <c r="N33" s="12" t="str">
        <f>LEFT(VLOOKUP(M33,Customer_File,3,FALSE),4)</f>
        <v>SMIT</v>
      </c>
      <c r="O33" s="180" t="s">
        <v>216</v>
      </c>
      <c r="P33" s="32" t="s">
        <v>216</v>
      </c>
      <c r="Q33" s="32" t="s">
        <v>216</v>
      </c>
      <c r="R33" s="32" t="s">
        <v>216</v>
      </c>
      <c r="S33" s="32" t="s">
        <v>216</v>
      </c>
      <c r="T33" s="32" t="s">
        <v>216</v>
      </c>
      <c r="U33" s="32">
        <f>IF(D33=4,VLOOKUP(M31,Customer_File,7,FALSE),"")</f>
      </c>
      <c r="V33" s="17">
        <v>999</v>
      </c>
      <c r="W33" s="18" t="s">
        <v>450</v>
      </c>
      <c r="X33" s="16">
        <f>IF(AND(D33=4,P33="C"),VLOOKUP(M33,Customer_File,3,FALSE),"")</f>
      </c>
      <c r="Y33" s="32" t="s">
        <v>216</v>
      </c>
      <c r="Z33" s="32" t="s">
        <v>216</v>
      </c>
      <c r="AA33" s="32" t="s">
        <v>216</v>
      </c>
      <c r="AB33" s="32" t="s">
        <v>216</v>
      </c>
      <c r="AC33" s="32" t="s">
        <v>216</v>
      </c>
      <c r="AD33" s="32" t="s">
        <v>216</v>
      </c>
      <c r="AE33" s="32" t="s">
        <v>216</v>
      </c>
      <c r="AF33" s="32" t="s">
        <v>216</v>
      </c>
      <c r="AG33" s="32" t="s">
        <v>216</v>
      </c>
      <c r="AH33" s="32" t="s">
        <v>216</v>
      </c>
      <c r="AI33" s="32" t="s">
        <v>216</v>
      </c>
    </row>
    <row r="34" spans="1:35" ht="5.25" customHeight="1">
      <c r="A34" s="100" t="str">
        <f t="shared" si="7"/>
        <v>  </v>
      </c>
      <c r="B34" s="31" t="s">
        <v>216</v>
      </c>
      <c r="C34" s="31" t="s">
        <v>216</v>
      </c>
      <c r="D34" s="34" t="s">
        <v>216</v>
      </c>
      <c r="E34" s="31" t="s">
        <v>216</v>
      </c>
      <c r="F34" s="31" t="s">
        <v>216</v>
      </c>
      <c r="G34" s="31"/>
      <c r="H34" s="31"/>
      <c r="I34" s="182"/>
      <c r="J34" s="31" t="s">
        <v>216</v>
      </c>
      <c r="K34" s="31"/>
      <c r="L34" s="31" t="s">
        <v>216</v>
      </c>
      <c r="M34" s="31" t="s">
        <v>216</v>
      </c>
      <c r="N34" s="31" t="s">
        <v>216</v>
      </c>
      <c r="O34" s="182" t="s">
        <v>216</v>
      </c>
      <c r="P34" s="31" t="s">
        <v>216</v>
      </c>
      <c r="Q34" s="31" t="s">
        <v>216</v>
      </c>
      <c r="R34" s="31" t="s">
        <v>216</v>
      </c>
      <c r="S34" s="31" t="s">
        <v>216</v>
      </c>
      <c r="T34" s="31" t="s">
        <v>216</v>
      </c>
      <c r="U34" s="31" t="s">
        <v>216</v>
      </c>
      <c r="V34" s="35"/>
      <c r="W34" s="35" t="s">
        <v>216</v>
      </c>
      <c r="X34" s="35" t="s">
        <v>216</v>
      </c>
      <c r="Y34" s="31" t="s">
        <v>216</v>
      </c>
      <c r="Z34" s="31" t="s">
        <v>216</v>
      </c>
      <c r="AA34" s="31" t="s">
        <v>216</v>
      </c>
      <c r="AB34" s="31" t="s">
        <v>216</v>
      </c>
      <c r="AC34" s="31" t="s">
        <v>216</v>
      </c>
      <c r="AD34" s="31" t="s">
        <v>216</v>
      </c>
      <c r="AE34" s="31" t="s">
        <v>216</v>
      </c>
      <c r="AF34" s="31" t="s">
        <v>216</v>
      </c>
      <c r="AG34" s="31" t="s">
        <v>216</v>
      </c>
      <c r="AH34" s="31" t="s">
        <v>216</v>
      </c>
      <c r="AI34" s="31" t="s">
        <v>216</v>
      </c>
    </row>
    <row r="35" spans="1:35" ht="11.25">
      <c r="A35" s="100" t="str">
        <f aca="true" t="shared" si="8" ref="A35:A48">CONCATENATE(B35,C35)</f>
        <v>2A3</v>
      </c>
      <c r="B35" s="15" t="s">
        <v>64</v>
      </c>
      <c r="C35" s="15">
        <v>3</v>
      </c>
      <c r="D35" s="37">
        <v>8</v>
      </c>
      <c r="E35" s="15" t="s">
        <v>451</v>
      </c>
      <c r="F35" s="31" t="s">
        <v>216</v>
      </c>
      <c r="G35" s="15" t="str">
        <f>'LDC Account Table'!$B$2</f>
        <v>LDCDUNS##</v>
      </c>
      <c r="H35" s="15" t="str">
        <f>'Supplier Account Table'!$B$2</f>
        <v>SUPDUNS##</v>
      </c>
      <c r="I35" s="179">
        <f>VLOOKUP(B35,File_Dates,2,FALSE)</f>
        <v>35979</v>
      </c>
      <c r="J35" s="15" t="s">
        <v>183</v>
      </c>
      <c r="K35" s="15" t="s">
        <v>216</v>
      </c>
      <c r="L35" s="15" t="str">
        <f>'Supplier Account Table'!A5</f>
        <v>S0000000000001</v>
      </c>
      <c r="M35" s="15" t="str">
        <f>'Test Customer Information'!A2</f>
        <v>D0000000000001</v>
      </c>
      <c r="N35" s="12" t="str">
        <f>LEFT(VLOOKUP(M35,Customer_File,3,FALSE),4)</f>
        <v>JOHN</v>
      </c>
      <c r="O35" s="180">
        <f aca="true" t="shared" si="9" ref="O35:O40">IF(D35=4,VLOOKUP(VLOOKUP(M35,Customer_File,3,FALSE),July,2,FALSE),"")</f>
      </c>
      <c r="P35" s="32" t="s">
        <v>216</v>
      </c>
      <c r="Q35" s="32" t="s">
        <v>216</v>
      </c>
      <c r="R35" s="32" t="s">
        <v>216</v>
      </c>
      <c r="S35" s="32" t="s">
        <v>216</v>
      </c>
      <c r="T35" s="32" t="s">
        <v>216</v>
      </c>
      <c r="U35" s="32">
        <f>IF(D35=4,VLOOKUP(#REF!,Customer_File,7,FALSE),"")</f>
      </c>
      <c r="V35" s="16" t="s">
        <v>216</v>
      </c>
      <c r="W35" s="16" t="s">
        <v>216</v>
      </c>
      <c r="X35" s="16">
        <f>IF(AND(D35=4,P35="C"),VLOOKUP(M35,Customer_File,3,FALSE),"")</f>
      </c>
      <c r="Y35" s="32">
        <f>IF(P35="C",VLOOKUP(M35,Customer_File,4,FALSE),"")</f>
      </c>
      <c r="Z35" s="32" t="s">
        <v>216</v>
      </c>
      <c r="AA35" s="32" t="s">
        <v>216</v>
      </c>
      <c r="AB35" s="32" t="s">
        <v>216</v>
      </c>
      <c r="AC35" s="32" t="s">
        <v>216</v>
      </c>
      <c r="AD35" s="32" t="s">
        <v>216</v>
      </c>
      <c r="AE35" s="32" t="s">
        <v>216</v>
      </c>
      <c r="AF35" s="32" t="s">
        <v>216</v>
      </c>
      <c r="AG35" s="32" t="s">
        <v>216</v>
      </c>
      <c r="AH35" s="32" t="s">
        <v>216</v>
      </c>
      <c r="AI35" s="32" t="s">
        <v>216</v>
      </c>
    </row>
    <row r="36" spans="1:35" ht="11.25">
      <c r="A36" s="100" t="str">
        <f t="shared" si="8"/>
        <v>2B3</v>
      </c>
      <c r="B36" s="15" t="s">
        <v>50</v>
      </c>
      <c r="C36" s="15">
        <v>3</v>
      </c>
      <c r="D36" s="37">
        <v>9</v>
      </c>
      <c r="E36" s="15" t="s">
        <v>452</v>
      </c>
      <c r="F36" s="31" t="s">
        <v>216</v>
      </c>
      <c r="G36" s="15" t="str">
        <f>'LDC Account Table'!$B$2</f>
        <v>LDCDUNS##</v>
      </c>
      <c r="H36" s="15" t="str">
        <f>'Supplier Account Table'!$B$2</f>
        <v>SUPDUNS##</v>
      </c>
      <c r="I36" s="179">
        <f>VLOOKUP(B36,File_Dates,2,FALSE)</f>
        <v>35982</v>
      </c>
      <c r="J36" s="15" t="s">
        <v>188</v>
      </c>
      <c r="K36" s="15" t="s">
        <v>216</v>
      </c>
      <c r="L36" s="15" t="str">
        <f>L35</f>
        <v>S0000000000001</v>
      </c>
      <c r="M36" s="15" t="str">
        <f>M35</f>
        <v>D0000000000001</v>
      </c>
      <c r="N36" s="12" t="str">
        <f>LEFT(VLOOKUP(M36,Customer_File,3,FALSE),4)</f>
        <v>JOHN</v>
      </c>
      <c r="O36" s="181">
        <f>VLOOKUP(VLOOKUP(M36,Customer_File,9,FALSE),August,2,FALSE)</f>
        <v>36010</v>
      </c>
      <c r="P36" s="32" t="s">
        <v>216</v>
      </c>
      <c r="Q36" s="32" t="s">
        <v>216</v>
      </c>
      <c r="R36" s="32" t="s">
        <v>216</v>
      </c>
      <c r="S36" s="32" t="s">
        <v>216</v>
      </c>
      <c r="T36" s="32" t="s">
        <v>216</v>
      </c>
      <c r="U36" s="32">
        <f>IF(D36=4,VLOOKUP(M35,Customer_File,7,FALSE),"")</f>
      </c>
      <c r="V36" s="17">
        <v>100</v>
      </c>
      <c r="W36" s="16"/>
      <c r="X36" s="16">
        <f>IF(AND(D36=4,P36="C"),VLOOKUP(M36,Customer_File,3,FALSE),"")</f>
      </c>
      <c r="Y36" s="32">
        <f>IF(P36="C",VLOOKUP(M36,Customer_File,4,FALSE),"")</f>
      </c>
      <c r="Z36" s="32" t="s">
        <v>216</v>
      </c>
      <c r="AA36" s="32" t="s">
        <v>216</v>
      </c>
      <c r="AB36" s="32" t="s">
        <v>216</v>
      </c>
      <c r="AC36" s="32" t="s">
        <v>216</v>
      </c>
      <c r="AD36" s="32" t="s">
        <v>216</v>
      </c>
      <c r="AE36" s="32" t="s">
        <v>216</v>
      </c>
      <c r="AF36" s="32" t="s">
        <v>216</v>
      </c>
      <c r="AG36" s="32" t="s">
        <v>216</v>
      </c>
      <c r="AH36" s="32" t="s">
        <v>216</v>
      </c>
      <c r="AI36" s="32" t="s">
        <v>216</v>
      </c>
    </row>
    <row r="37" spans="1:35" ht="5.25" customHeight="1">
      <c r="A37" s="100" t="str">
        <f t="shared" si="8"/>
        <v>  </v>
      </c>
      <c r="B37" s="31" t="s">
        <v>216</v>
      </c>
      <c r="C37" s="31" t="s">
        <v>216</v>
      </c>
      <c r="D37" s="34" t="s">
        <v>216</v>
      </c>
      <c r="E37" s="31" t="s">
        <v>216</v>
      </c>
      <c r="F37" s="31" t="s">
        <v>216</v>
      </c>
      <c r="G37" s="31"/>
      <c r="H37" s="31"/>
      <c r="I37" s="182"/>
      <c r="J37" s="31" t="s">
        <v>216</v>
      </c>
      <c r="K37" s="31"/>
      <c r="L37" s="31" t="s">
        <v>216</v>
      </c>
      <c r="M37" s="31" t="s">
        <v>216</v>
      </c>
      <c r="N37" s="31" t="s">
        <v>216</v>
      </c>
      <c r="O37" s="182" t="s">
        <v>216</v>
      </c>
      <c r="P37" s="31" t="s">
        <v>216</v>
      </c>
      <c r="Q37" s="31" t="s">
        <v>216</v>
      </c>
      <c r="R37" s="31" t="s">
        <v>216</v>
      </c>
      <c r="S37" s="31" t="s">
        <v>216</v>
      </c>
      <c r="T37" s="31" t="s">
        <v>216</v>
      </c>
      <c r="U37" s="31" t="s">
        <v>216</v>
      </c>
      <c r="V37" s="35"/>
      <c r="W37" s="35" t="s">
        <v>216</v>
      </c>
      <c r="X37" s="35" t="s">
        <v>216</v>
      </c>
      <c r="Y37" s="31" t="s">
        <v>216</v>
      </c>
      <c r="Z37" s="31" t="s">
        <v>216</v>
      </c>
      <c r="AA37" s="31" t="s">
        <v>216</v>
      </c>
      <c r="AB37" s="31" t="s">
        <v>216</v>
      </c>
      <c r="AC37" s="31" t="s">
        <v>216</v>
      </c>
      <c r="AD37" s="31" t="s">
        <v>216</v>
      </c>
      <c r="AE37" s="31" t="s">
        <v>216</v>
      </c>
      <c r="AF37" s="31" t="s">
        <v>216</v>
      </c>
      <c r="AG37" s="31" t="s">
        <v>216</v>
      </c>
      <c r="AH37" s="31" t="s">
        <v>216</v>
      </c>
      <c r="AI37" s="31" t="s">
        <v>216</v>
      </c>
    </row>
    <row r="38" spans="1:35" ht="11.25">
      <c r="A38" s="100" t="str">
        <f t="shared" si="8"/>
        <v>2B4</v>
      </c>
      <c r="B38" s="15" t="s">
        <v>50</v>
      </c>
      <c r="C38" s="15">
        <v>4</v>
      </c>
      <c r="D38" s="37">
        <v>3</v>
      </c>
      <c r="E38" s="15" t="s">
        <v>453</v>
      </c>
      <c r="F38" s="31" t="s">
        <v>216</v>
      </c>
      <c r="G38" s="15" t="str">
        <f>'LDC Account Table'!$B$2</f>
        <v>LDCDUNS##</v>
      </c>
      <c r="H38" s="15" t="str">
        <f>'Supplier Account Table'!$B$2</f>
        <v>SUPDUNS##</v>
      </c>
      <c r="I38" s="179">
        <f>VLOOKUP(B38,File_Dates,2,FALSE)</f>
        <v>35982</v>
      </c>
      <c r="J38" s="15" t="s">
        <v>182</v>
      </c>
      <c r="K38" s="15" t="s">
        <v>216</v>
      </c>
      <c r="L38" s="15" t="str">
        <f>'Supplier Account Table'!A6</f>
        <v>S0000000000002</v>
      </c>
      <c r="M38" s="15" t="str">
        <f>'Test Customer Information'!A9</f>
        <v>D000000000002A</v>
      </c>
      <c r="N38" s="12" t="str">
        <f>LEFT(VLOOKUP(M38,Customer_File,3,FALSE),4)</f>
        <v>SMIT</v>
      </c>
      <c r="O38" s="180">
        <f t="shared" si="9"/>
      </c>
      <c r="P38" s="32" t="s">
        <v>216</v>
      </c>
      <c r="Q38" s="32" t="s">
        <v>216</v>
      </c>
      <c r="R38" s="32" t="s">
        <v>216</v>
      </c>
      <c r="S38" s="32" t="s">
        <v>216</v>
      </c>
      <c r="T38" s="32" t="s">
        <v>216</v>
      </c>
      <c r="U38" s="32">
        <f>IF(D38=4,VLOOKUP(M37,Customer_File,7,FALSE),"")</f>
      </c>
      <c r="V38" s="16" t="s">
        <v>216</v>
      </c>
      <c r="W38" s="16" t="s">
        <v>216</v>
      </c>
      <c r="X38" s="16" t="s">
        <v>216</v>
      </c>
      <c r="Y38" s="32">
        <f>IF(P38="C",VLOOKUP(M38,Customer_File,4,FALSE),"")</f>
      </c>
      <c r="Z38" s="15" t="str">
        <f>'Test Customer Information'!A3</f>
        <v>D0000000000002</v>
      </c>
      <c r="AA38" s="32" t="s">
        <v>216</v>
      </c>
      <c r="AB38" s="32" t="s">
        <v>216</v>
      </c>
      <c r="AC38" s="32" t="s">
        <v>216</v>
      </c>
      <c r="AD38" s="32" t="s">
        <v>216</v>
      </c>
      <c r="AE38" s="32" t="s">
        <v>216</v>
      </c>
      <c r="AF38" s="32" t="s">
        <v>216</v>
      </c>
      <c r="AG38" s="32" t="s">
        <v>216</v>
      </c>
      <c r="AH38" s="32" t="s">
        <v>216</v>
      </c>
      <c r="AI38" s="32" t="s">
        <v>216</v>
      </c>
    </row>
    <row r="39" spans="1:35" ht="5.25" customHeight="1">
      <c r="A39" s="100" t="str">
        <f t="shared" si="8"/>
        <v>  </v>
      </c>
      <c r="B39" s="31" t="s">
        <v>216</v>
      </c>
      <c r="C39" s="31" t="s">
        <v>216</v>
      </c>
      <c r="D39" s="34" t="s">
        <v>216</v>
      </c>
      <c r="E39" s="31" t="s">
        <v>216</v>
      </c>
      <c r="F39" s="31" t="s">
        <v>216</v>
      </c>
      <c r="G39" s="31"/>
      <c r="H39" s="31"/>
      <c r="I39" s="182"/>
      <c r="J39" s="31" t="s">
        <v>216</v>
      </c>
      <c r="K39" s="31"/>
      <c r="L39" s="31" t="s">
        <v>216</v>
      </c>
      <c r="M39" s="31" t="s">
        <v>216</v>
      </c>
      <c r="N39" s="31" t="s">
        <v>216</v>
      </c>
      <c r="O39" s="182" t="s">
        <v>216</v>
      </c>
      <c r="P39" s="31" t="s">
        <v>216</v>
      </c>
      <c r="Q39" s="31" t="s">
        <v>216</v>
      </c>
      <c r="R39" s="31" t="s">
        <v>216</v>
      </c>
      <c r="S39" s="31" t="s">
        <v>216</v>
      </c>
      <c r="T39" s="31" t="s">
        <v>216</v>
      </c>
      <c r="U39" s="31" t="s">
        <v>216</v>
      </c>
      <c r="V39" s="35"/>
      <c r="W39" s="35" t="s">
        <v>216</v>
      </c>
      <c r="X39" s="35" t="s">
        <v>216</v>
      </c>
      <c r="Y39" s="31" t="s">
        <v>216</v>
      </c>
      <c r="Z39" s="31" t="s">
        <v>216</v>
      </c>
      <c r="AA39" s="31" t="s">
        <v>216</v>
      </c>
      <c r="AB39" s="31" t="s">
        <v>216</v>
      </c>
      <c r="AC39" s="31" t="s">
        <v>216</v>
      </c>
      <c r="AD39" s="31" t="s">
        <v>216</v>
      </c>
      <c r="AE39" s="31" t="s">
        <v>216</v>
      </c>
      <c r="AF39" s="31" t="s">
        <v>216</v>
      </c>
      <c r="AG39" s="31" t="s">
        <v>216</v>
      </c>
      <c r="AH39" s="31" t="s">
        <v>216</v>
      </c>
      <c r="AI39" s="31" t="s">
        <v>216</v>
      </c>
    </row>
    <row r="40" spans="1:35" ht="11.25">
      <c r="A40" s="100" t="str">
        <f t="shared" si="8"/>
        <v>2B5</v>
      </c>
      <c r="B40" s="15" t="s">
        <v>50</v>
      </c>
      <c r="C40" s="15">
        <v>5</v>
      </c>
      <c r="D40" s="37">
        <v>3</v>
      </c>
      <c r="E40" s="15" t="s">
        <v>454</v>
      </c>
      <c r="F40" s="31" t="s">
        <v>216</v>
      </c>
      <c r="G40" s="15" t="str">
        <f>'LDC Account Table'!$B$2</f>
        <v>LDCDUNS##</v>
      </c>
      <c r="H40" s="15" t="str">
        <f>'Supplier Account Table'!$B$2</f>
        <v>SUPDUNS##</v>
      </c>
      <c r="I40" s="179">
        <f>VLOOKUP(B40,File_Dates,2,FALSE)</f>
        <v>35982</v>
      </c>
      <c r="J40" s="15" t="s">
        <v>182</v>
      </c>
      <c r="K40" s="15" t="s">
        <v>216</v>
      </c>
      <c r="L40" s="15" t="str">
        <f>'Supplier Account Table'!A6</f>
        <v>S0000000000002</v>
      </c>
      <c r="M40" s="15" t="str">
        <f>'Test Customer Information'!A9</f>
        <v>D000000000002A</v>
      </c>
      <c r="N40" s="12" t="str">
        <f>LEFT(VLOOKUP(M40,Customer_File,3,FALSE),4)</f>
        <v>SMIT</v>
      </c>
      <c r="O40" s="180">
        <f t="shared" si="9"/>
      </c>
      <c r="P40" s="32" t="s">
        <v>216</v>
      </c>
      <c r="Q40" s="32" t="s">
        <v>216</v>
      </c>
      <c r="R40" s="32" t="s">
        <v>216</v>
      </c>
      <c r="S40" s="32" t="s">
        <v>216</v>
      </c>
      <c r="T40" s="15" t="str">
        <f>VLOOKUP(M40,Customer_File,11,FALSE)</f>
        <v>E</v>
      </c>
      <c r="U40" s="12" t="s">
        <v>455</v>
      </c>
      <c r="V40" s="16" t="s">
        <v>216</v>
      </c>
      <c r="W40" s="16" t="s">
        <v>216</v>
      </c>
      <c r="X40" s="17">
        <f>VLOOKUP(M40,Customer_File,9,FALSE)</f>
        <v>15</v>
      </c>
      <c r="Y40" s="32">
        <f>IF(P40="C",VLOOKUP(M40,Customer_File,4,FALSE),"")</f>
      </c>
      <c r="Z40" s="32" t="s">
        <v>216</v>
      </c>
      <c r="AA40" s="32" t="s">
        <v>216</v>
      </c>
      <c r="AB40" s="12" t="str">
        <f>VLOOKUP(M40,Customer_File,14,FALSE)</f>
        <v>M000000011</v>
      </c>
      <c r="AC40" s="32" t="s">
        <v>216</v>
      </c>
      <c r="AD40" s="32" t="s">
        <v>216</v>
      </c>
      <c r="AE40" s="32" t="s">
        <v>216</v>
      </c>
      <c r="AF40" s="32" t="s">
        <v>216</v>
      </c>
      <c r="AG40" s="32" t="s">
        <v>216</v>
      </c>
      <c r="AH40" s="32" t="s">
        <v>216</v>
      </c>
      <c r="AI40" s="32" t="s">
        <v>216</v>
      </c>
    </row>
    <row r="41" spans="1:35" ht="5.25" customHeight="1">
      <c r="A41" s="100" t="str">
        <f t="shared" si="8"/>
        <v>  </v>
      </c>
      <c r="B41" s="31" t="s">
        <v>216</v>
      </c>
      <c r="C41" s="31" t="s">
        <v>216</v>
      </c>
      <c r="D41" s="34" t="s">
        <v>216</v>
      </c>
      <c r="E41" s="31" t="s">
        <v>216</v>
      </c>
      <c r="F41" s="31" t="s">
        <v>216</v>
      </c>
      <c r="G41" s="31"/>
      <c r="H41" s="31"/>
      <c r="I41" s="182"/>
      <c r="J41" s="31" t="s">
        <v>216</v>
      </c>
      <c r="K41" s="31"/>
      <c r="L41" s="31" t="s">
        <v>216</v>
      </c>
      <c r="M41" s="31" t="s">
        <v>216</v>
      </c>
      <c r="N41" s="31" t="s">
        <v>216</v>
      </c>
      <c r="O41" s="182" t="s">
        <v>216</v>
      </c>
      <c r="P41" s="31" t="s">
        <v>216</v>
      </c>
      <c r="Q41" s="31" t="s">
        <v>216</v>
      </c>
      <c r="R41" s="31" t="s">
        <v>216</v>
      </c>
      <c r="S41" s="31" t="s">
        <v>216</v>
      </c>
      <c r="T41" s="31" t="s">
        <v>216</v>
      </c>
      <c r="U41" s="31" t="s">
        <v>216</v>
      </c>
      <c r="V41" s="35"/>
      <c r="W41" s="35" t="s">
        <v>216</v>
      </c>
      <c r="X41" s="35" t="s">
        <v>216</v>
      </c>
      <c r="Y41" s="31" t="s">
        <v>216</v>
      </c>
      <c r="Z41" s="31" t="s">
        <v>216</v>
      </c>
      <c r="AA41" s="31" t="s">
        <v>216</v>
      </c>
      <c r="AB41" s="31" t="s">
        <v>216</v>
      </c>
      <c r="AC41" s="31" t="s">
        <v>216</v>
      </c>
      <c r="AD41" s="31" t="s">
        <v>216</v>
      </c>
      <c r="AE41" s="31" t="s">
        <v>216</v>
      </c>
      <c r="AF41" s="31" t="s">
        <v>216</v>
      </c>
      <c r="AG41" s="31" t="s">
        <v>216</v>
      </c>
      <c r="AH41" s="31" t="s">
        <v>216</v>
      </c>
      <c r="AI41" s="31" t="s">
        <v>216</v>
      </c>
    </row>
    <row r="42" spans="1:35" ht="11.25">
      <c r="A42" s="100" t="str">
        <f t="shared" si="8"/>
        <v>2B6</v>
      </c>
      <c r="B42" s="15" t="s">
        <v>50</v>
      </c>
      <c r="C42" s="15">
        <v>6</v>
      </c>
      <c r="D42" s="37">
        <v>5</v>
      </c>
      <c r="E42" s="15" t="s">
        <v>456</v>
      </c>
      <c r="F42" s="31" t="s">
        <v>216</v>
      </c>
      <c r="G42" s="15" t="str">
        <f>'LDC Account Table'!$B$2</f>
        <v>LDCDUNS##</v>
      </c>
      <c r="H42" s="15" t="str">
        <f>'Supplier Account Table'!$B$2</f>
        <v>SUPDUNS##</v>
      </c>
      <c r="I42" s="179">
        <f>VLOOKUP(B42,File_Dates,2,FALSE)</f>
        <v>35982</v>
      </c>
      <c r="J42" s="15" t="s">
        <v>7</v>
      </c>
      <c r="K42" s="15" t="s">
        <v>216</v>
      </c>
      <c r="L42" s="15" t="str">
        <f>'Supplier Account Table'!A8</f>
        <v>S0000000000004</v>
      </c>
      <c r="M42" s="15" t="str">
        <f>'Test Customer Information'!A5</f>
        <v>D000000000003A</v>
      </c>
      <c r="N42" s="12" t="str">
        <f>LEFT(VLOOKUP(M42,Customer_File,3,FALSE),4)</f>
        <v>ADAM</v>
      </c>
      <c r="O42" s="181">
        <f>VLOOKUP(VLOOKUP(M42,Customer_File,9,FALSE),August,2,FALSE)</f>
        <v>36027</v>
      </c>
      <c r="P42" s="15" t="s">
        <v>182</v>
      </c>
      <c r="Q42" s="32" t="s">
        <v>216</v>
      </c>
      <c r="R42" s="15" t="str">
        <f>R47</f>
        <v>R01</v>
      </c>
      <c r="S42" s="39" t="str">
        <f>S47</f>
        <v>R000002</v>
      </c>
      <c r="T42" s="15" t="str">
        <f>VLOOKUP(M42,Customer_File,11,FALSE)</f>
        <v>E</v>
      </c>
      <c r="U42" s="15" t="str">
        <f>VLOOKUP(M42,Customer_File,14,FALSE)</f>
        <v>M000000004</v>
      </c>
      <c r="V42" s="16" t="s">
        <v>216</v>
      </c>
      <c r="W42" s="16" t="s">
        <v>216</v>
      </c>
      <c r="X42" s="17">
        <f>VLOOKUP(Z42,Customer_File,9,FALSE)</f>
        <v>8</v>
      </c>
      <c r="Y42" s="12" t="str">
        <f>IF(P42="C",VLOOKUP(Z42,Customer_File,10,FALSE),"")</f>
        <v>N</v>
      </c>
      <c r="Z42" s="15" t="str">
        <f>'Test Customer Information'!A4</f>
        <v>D0000000000003</v>
      </c>
      <c r="AA42" s="32" t="s">
        <v>216</v>
      </c>
      <c r="AB42" s="32" t="s">
        <v>216</v>
      </c>
      <c r="AC42" s="15" t="str">
        <f>VLOOKUP(Z42,Customer_File,5,FALSE)</f>
        <v>5 SOUTH STREET</v>
      </c>
      <c r="AD42" s="15" t="str">
        <f>VLOOKUP(Z42,Customer_File,6,FALSE)</f>
        <v> </v>
      </c>
      <c r="AE42" s="15" t="str">
        <f>LEFT(VLOOKUP(Z42,Customer_File,7,FALSE),FIND(" ",VLOOKUP(Z42,Customer_File,7,FALSE),1))</f>
        <v>OLDTOWN </v>
      </c>
      <c r="AF42" s="15" t="s">
        <v>424</v>
      </c>
      <c r="AG42" s="15" t="str">
        <f>RIGHT(VLOOKUP(Z42,Customer_File,7,FALSE),5)</f>
        <v>99999</v>
      </c>
      <c r="AH42" s="32" t="s">
        <v>216</v>
      </c>
      <c r="AI42" s="32" t="s">
        <v>216</v>
      </c>
    </row>
    <row r="43" spans="1:35" ht="11.25">
      <c r="A43" s="100" t="str">
        <f t="shared" si="8"/>
        <v>2B7</v>
      </c>
      <c r="B43" s="15" t="s">
        <v>50</v>
      </c>
      <c r="C43" s="15">
        <v>7</v>
      </c>
      <c r="D43" s="37">
        <v>5</v>
      </c>
      <c r="E43" s="15" t="s">
        <v>457</v>
      </c>
      <c r="F43" s="31" t="s">
        <v>216</v>
      </c>
      <c r="G43" s="15" t="str">
        <f>'LDC Account Table'!$B$2</f>
        <v>LDCDUNS##</v>
      </c>
      <c r="H43" s="15" t="str">
        <f>'Supplier Account Table'!$B$2</f>
        <v>SUPDUNS##</v>
      </c>
      <c r="I43" s="179">
        <f>VLOOKUP(B43,File_Dates,2,FALSE)</f>
        <v>35982</v>
      </c>
      <c r="J43" s="15" t="s">
        <v>7</v>
      </c>
      <c r="K43" s="15" t="s">
        <v>216</v>
      </c>
      <c r="L43" s="15" t="str">
        <f>L42</f>
        <v>S0000000000004</v>
      </c>
      <c r="M43" s="15" t="str">
        <f>M42</f>
        <v>D000000000003A</v>
      </c>
      <c r="N43" s="12" t="str">
        <f>LEFT(VLOOKUP(M43,Customer_File,3,FALSE),4)</f>
        <v>ADAM</v>
      </c>
      <c r="O43" s="181">
        <f>VLOOKUP(VLOOKUP(M43,Customer_File,9,FALSE),August,2,FALSE)</f>
        <v>36027</v>
      </c>
      <c r="P43" s="15" t="s">
        <v>182</v>
      </c>
      <c r="Q43" s="32" t="s">
        <v>216</v>
      </c>
      <c r="R43" s="15" t="s">
        <v>363</v>
      </c>
      <c r="S43" s="15" t="s">
        <v>364</v>
      </c>
      <c r="T43" s="15" t="s">
        <v>232</v>
      </c>
      <c r="U43" s="18" t="str">
        <f>VLOOKUP(M43,Customer_File,18,FALSE)</f>
        <v>U000000002</v>
      </c>
      <c r="V43" s="16" t="s">
        <v>216</v>
      </c>
      <c r="W43" s="16" t="s">
        <v>216</v>
      </c>
      <c r="X43" s="17">
        <f>VLOOKUP(Z43,Customer_File,9,FALSE)</f>
        <v>8</v>
      </c>
      <c r="Y43" s="12" t="str">
        <f>IF(P43="C",VLOOKUP(Z43,Customer_File,10,FALSE),"")</f>
        <v>N</v>
      </c>
      <c r="Z43" s="15" t="str">
        <f>'Test Customer Information'!A4</f>
        <v>D0000000000003</v>
      </c>
      <c r="AA43" s="32" t="s">
        <v>216</v>
      </c>
      <c r="AB43" s="32" t="s">
        <v>216</v>
      </c>
      <c r="AC43" s="15" t="str">
        <f>VLOOKUP(Z42,Customer_File,5,FALSE)</f>
        <v>5 SOUTH STREET</v>
      </c>
      <c r="AD43" s="15" t="str">
        <f>VLOOKUP(Z42,Customer_File,6,FALSE)</f>
        <v> </v>
      </c>
      <c r="AE43" s="15" t="str">
        <f>LEFT(VLOOKUP(Z43,Customer_File,7,FALSE),FIND(" ",VLOOKUP(Z43,Customer_File,7,FALSE),1))</f>
        <v>OLDTOWN </v>
      </c>
      <c r="AF43" s="15" t="s">
        <v>424</v>
      </c>
      <c r="AG43" s="15" t="str">
        <f>RIGHT(VLOOKUP(Z43,Customer_File,7,FALSE),5)</f>
        <v>99999</v>
      </c>
      <c r="AH43" s="32" t="s">
        <v>216</v>
      </c>
      <c r="AI43" s="32" t="s">
        <v>216</v>
      </c>
    </row>
    <row r="44" spans="1:35" ht="5.25" customHeight="1">
      <c r="A44" s="100" t="str">
        <f t="shared" si="8"/>
        <v>  </v>
      </c>
      <c r="B44" s="31" t="s">
        <v>216</v>
      </c>
      <c r="C44" s="31" t="s">
        <v>216</v>
      </c>
      <c r="D44" s="34" t="s">
        <v>216</v>
      </c>
      <c r="E44" s="31" t="s">
        <v>216</v>
      </c>
      <c r="F44" s="31" t="s">
        <v>216</v>
      </c>
      <c r="G44" s="31"/>
      <c r="H44" s="31"/>
      <c r="I44" s="182"/>
      <c r="J44" s="31" t="s">
        <v>216</v>
      </c>
      <c r="K44" s="31"/>
      <c r="L44" s="31" t="s">
        <v>216</v>
      </c>
      <c r="M44" s="31" t="s">
        <v>216</v>
      </c>
      <c r="N44" s="31" t="s">
        <v>216</v>
      </c>
      <c r="O44" s="182" t="s">
        <v>216</v>
      </c>
      <c r="P44" s="31" t="s">
        <v>216</v>
      </c>
      <c r="Q44" s="31" t="s">
        <v>216</v>
      </c>
      <c r="R44" s="31" t="s">
        <v>216</v>
      </c>
      <c r="S44" s="31" t="s">
        <v>216</v>
      </c>
      <c r="T44" s="31" t="s">
        <v>216</v>
      </c>
      <c r="U44" s="31" t="s">
        <v>216</v>
      </c>
      <c r="V44" s="35"/>
      <c r="W44" s="35" t="s">
        <v>216</v>
      </c>
      <c r="X44" s="35" t="s">
        <v>216</v>
      </c>
      <c r="Y44" s="31" t="s">
        <v>216</v>
      </c>
      <c r="Z44" s="31" t="s">
        <v>216</v>
      </c>
      <c r="AA44" s="31" t="s">
        <v>216</v>
      </c>
      <c r="AB44" s="31" t="s">
        <v>216</v>
      </c>
      <c r="AC44" s="31" t="s">
        <v>216</v>
      </c>
      <c r="AD44" s="31" t="s">
        <v>216</v>
      </c>
      <c r="AE44" s="31" t="s">
        <v>216</v>
      </c>
      <c r="AF44" s="31" t="s">
        <v>216</v>
      </c>
      <c r="AG44" s="31" t="s">
        <v>216</v>
      </c>
      <c r="AH44" s="31" t="s">
        <v>216</v>
      </c>
      <c r="AI44" s="31" t="s">
        <v>216</v>
      </c>
    </row>
    <row r="45" spans="1:35" ht="11.25">
      <c r="A45" s="100" t="str">
        <f t="shared" si="8"/>
        <v>2B8</v>
      </c>
      <c r="B45" s="15" t="s">
        <v>50</v>
      </c>
      <c r="C45" s="15">
        <v>8</v>
      </c>
      <c r="D45" s="37">
        <v>7</v>
      </c>
      <c r="E45" s="15" t="s">
        <v>458</v>
      </c>
      <c r="F45" s="31" t="s">
        <v>216</v>
      </c>
      <c r="G45" s="15" t="str">
        <f>'LDC Account Table'!$B$2</f>
        <v>LDCDUNS##</v>
      </c>
      <c r="H45" s="15" t="str">
        <f>'Supplier Account Table'!$B$2</f>
        <v>SUPDUNS##</v>
      </c>
      <c r="I45" s="179">
        <f>VLOOKUP(B45,File_Dates,2,FALSE)</f>
        <v>35982</v>
      </c>
      <c r="J45" s="15" t="s">
        <v>183</v>
      </c>
      <c r="K45" s="15" t="s">
        <v>216</v>
      </c>
      <c r="L45" s="15" t="str">
        <f>'Supplier Account Table'!A6</f>
        <v>S0000000000002</v>
      </c>
      <c r="M45" s="15" t="str">
        <f>'Test Customer Information'!A9</f>
        <v>D000000000002A</v>
      </c>
      <c r="N45" s="12" t="str">
        <f>LEFT(VLOOKUP(M45,Customer_File,3,FALSE),4)</f>
        <v>SMIT</v>
      </c>
      <c r="O45" s="181">
        <f>VLOOKUP(VLOOKUP(M45,Customer_File,9,FALSE),August,2,FALSE)</f>
        <v>36026</v>
      </c>
      <c r="P45" s="32" t="s">
        <v>216</v>
      </c>
      <c r="Q45" s="32" t="s">
        <v>216</v>
      </c>
      <c r="R45" s="32" t="s">
        <v>216</v>
      </c>
      <c r="S45" s="32" t="s">
        <v>216</v>
      </c>
      <c r="T45" s="32" t="s">
        <v>216</v>
      </c>
      <c r="U45" s="32">
        <f>IF(D45=4,VLOOKUP(M44,Customer_File,7,FALSE),"")</f>
      </c>
      <c r="V45" s="16" t="s">
        <v>216</v>
      </c>
      <c r="W45" s="16" t="s">
        <v>216</v>
      </c>
      <c r="X45" s="16">
        <f>IF(AND(D45=4,P45="C"),VLOOKUP(M45,Customer_File,3,FALSE),"")</f>
      </c>
      <c r="Y45" s="32">
        <f>IF(P45="C",VLOOKUP(M45,Customer_File,4,FALSE),"")</f>
      </c>
      <c r="Z45" s="32" t="s">
        <v>216</v>
      </c>
      <c r="AA45" s="32" t="s">
        <v>216</v>
      </c>
      <c r="AB45" s="32" t="s">
        <v>216</v>
      </c>
      <c r="AC45" s="32" t="s">
        <v>216</v>
      </c>
      <c r="AD45" s="32" t="s">
        <v>216</v>
      </c>
      <c r="AE45" s="32" t="s">
        <v>216</v>
      </c>
      <c r="AF45" s="32" t="s">
        <v>216</v>
      </c>
      <c r="AG45" s="32" t="s">
        <v>216</v>
      </c>
      <c r="AH45" s="32" t="s">
        <v>216</v>
      </c>
      <c r="AI45" s="32" t="s">
        <v>216</v>
      </c>
    </row>
    <row r="46" spans="1:35" ht="5.25" customHeight="1">
      <c r="A46" s="100" t="str">
        <f t="shared" si="8"/>
        <v>  </v>
      </c>
      <c r="B46" s="31" t="s">
        <v>216</v>
      </c>
      <c r="C46" s="31" t="s">
        <v>216</v>
      </c>
      <c r="D46" s="34" t="s">
        <v>216</v>
      </c>
      <c r="E46" s="31" t="s">
        <v>216</v>
      </c>
      <c r="F46" s="31" t="s">
        <v>216</v>
      </c>
      <c r="G46" s="31"/>
      <c r="H46" s="31"/>
      <c r="I46" s="182"/>
      <c r="J46" s="31" t="s">
        <v>216</v>
      </c>
      <c r="K46" s="31"/>
      <c r="L46" s="31" t="s">
        <v>216</v>
      </c>
      <c r="M46" s="31" t="s">
        <v>216</v>
      </c>
      <c r="N46" s="31" t="e">
        <f>LEFT(VLOOKUP(M46,Customer_File,2,FALSE),4)</f>
        <v>#N/A</v>
      </c>
      <c r="O46" s="182">
        <f>IF(D46=4,VLOOKUP(VLOOKUP(M46,Customer_File,3,FALSE),July,2,FALSE),"")</f>
      </c>
      <c r="P46" s="31" t="s">
        <v>216</v>
      </c>
      <c r="Q46" s="31" t="s">
        <v>216</v>
      </c>
      <c r="R46" s="31" t="s">
        <v>216</v>
      </c>
      <c r="S46" s="31" t="s">
        <v>216</v>
      </c>
      <c r="T46" s="31" t="s">
        <v>216</v>
      </c>
      <c r="U46" s="31">
        <f>IF(D46=4,VLOOKUP(M45,Customer_File,7,FALSE),"")</f>
      </c>
      <c r="V46" s="35"/>
      <c r="W46" s="35" t="s">
        <v>216</v>
      </c>
      <c r="X46" s="35">
        <f>IF(AND(D46=4,P46="C"),VLOOKUP(M46,Customer_File,3,FALSE),"")</f>
      </c>
      <c r="Y46" s="31">
        <f>IF(P46="C",VLOOKUP(M46,Customer_File,4,FALSE),"")</f>
      </c>
      <c r="Z46" s="31" t="s">
        <v>216</v>
      </c>
      <c r="AA46" s="31" t="s">
        <v>216</v>
      </c>
      <c r="AB46" s="31" t="s">
        <v>216</v>
      </c>
      <c r="AC46" s="31" t="s">
        <v>216</v>
      </c>
      <c r="AD46" s="31" t="s">
        <v>216</v>
      </c>
      <c r="AE46" s="31" t="s">
        <v>216</v>
      </c>
      <c r="AF46" s="31" t="s">
        <v>216</v>
      </c>
      <c r="AG46" s="31" t="s">
        <v>216</v>
      </c>
      <c r="AH46" s="31" t="s">
        <v>216</v>
      </c>
      <c r="AI46" s="31" t="s">
        <v>216</v>
      </c>
    </row>
    <row r="47" spans="1:35" ht="11.25">
      <c r="A47" s="100" t="str">
        <f t="shared" si="8"/>
        <v>2A4</v>
      </c>
      <c r="B47" s="15" t="s">
        <v>64</v>
      </c>
      <c r="C47" s="15">
        <v>4</v>
      </c>
      <c r="D47" s="37">
        <v>2</v>
      </c>
      <c r="E47" s="15" t="s">
        <v>459</v>
      </c>
      <c r="F47" s="31" t="s">
        <v>216</v>
      </c>
      <c r="G47" s="15" t="str">
        <f>'LDC Account Table'!$B$2</f>
        <v>LDCDUNS##</v>
      </c>
      <c r="H47" s="15" t="str">
        <f>'Supplier Account Table'!$B$2</f>
        <v>SUPDUNS##</v>
      </c>
      <c r="I47" s="179">
        <f>VLOOKUP(B47,File_Dates,2,FALSE)</f>
        <v>35979</v>
      </c>
      <c r="J47" s="15" t="s">
        <v>182</v>
      </c>
      <c r="K47" s="15" t="s">
        <v>216</v>
      </c>
      <c r="L47" s="15" t="str">
        <f>'Supplier Account Table'!A8</f>
        <v>S0000000000004</v>
      </c>
      <c r="M47" s="15" t="str">
        <f>'Test Customer Information'!A4</f>
        <v>D0000000000003</v>
      </c>
      <c r="N47" s="12" t="str">
        <f>LEFT(VLOOKUP(M47,Customer_File,3,FALSE),4)</f>
        <v>ADAM</v>
      </c>
      <c r="O47" s="180">
        <f>IF(D47=4,VLOOKUP(VLOOKUP(M47,Customer_File,3,FALSE),July,2,FALSE),"")</f>
      </c>
      <c r="P47" s="32" t="s">
        <v>216</v>
      </c>
      <c r="Q47" s="32" t="s">
        <v>216</v>
      </c>
      <c r="R47" s="15" t="s">
        <v>363</v>
      </c>
      <c r="S47" s="39" t="s">
        <v>365</v>
      </c>
      <c r="T47" s="15" t="str">
        <f>VLOOKUP(M47,Customer_File,11,FALSE)</f>
        <v>E</v>
      </c>
      <c r="U47" s="12" t="str">
        <f>VLOOKUP(M47,Customer_File,14,FALSE)</f>
        <v>M000000003</v>
      </c>
      <c r="V47" s="16" t="s">
        <v>216</v>
      </c>
      <c r="W47" s="16" t="s">
        <v>216</v>
      </c>
      <c r="X47" s="16">
        <f>IF(AND(D47=4,P47="C"),VLOOKUP(M47,Customer_File,3,FALSE),"")</f>
      </c>
      <c r="Y47" s="32">
        <f>IF(P47="C",VLOOKUP(M47,Customer_File,4,FALSE),"")</f>
      </c>
      <c r="Z47" s="32" t="s">
        <v>216</v>
      </c>
      <c r="AA47" s="32" t="s">
        <v>216</v>
      </c>
      <c r="AB47" s="32" t="s">
        <v>216</v>
      </c>
      <c r="AC47" s="32" t="s">
        <v>216</v>
      </c>
      <c r="AD47" s="32" t="s">
        <v>216</v>
      </c>
      <c r="AE47" s="32" t="s">
        <v>216</v>
      </c>
      <c r="AF47" s="32" t="s">
        <v>216</v>
      </c>
      <c r="AG47" s="32" t="s">
        <v>216</v>
      </c>
      <c r="AH47" s="32" t="s">
        <v>216</v>
      </c>
      <c r="AI47" s="32" t="s">
        <v>216</v>
      </c>
    </row>
    <row r="48" spans="1:35" ht="5.25" customHeight="1">
      <c r="A48" s="100" t="str">
        <f t="shared" si="8"/>
        <v>  </v>
      </c>
      <c r="B48" s="31" t="s">
        <v>216</v>
      </c>
      <c r="C48" s="31" t="s">
        <v>216</v>
      </c>
      <c r="D48" s="34" t="s">
        <v>216</v>
      </c>
      <c r="E48" s="31" t="s">
        <v>216</v>
      </c>
      <c r="F48" s="31" t="s">
        <v>216</v>
      </c>
      <c r="G48" s="31"/>
      <c r="H48" s="31"/>
      <c r="I48" s="182"/>
      <c r="J48" s="31" t="s">
        <v>216</v>
      </c>
      <c r="K48" s="31"/>
      <c r="L48" s="31" t="s">
        <v>216</v>
      </c>
      <c r="M48" s="31" t="s">
        <v>216</v>
      </c>
      <c r="N48" s="31" t="s">
        <v>216</v>
      </c>
      <c r="O48" s="182" t="s">
        <v>216</v>
      </c>
      <c r="P48" s="31" t="s">
        <v>216</v>
      </c>
      <c r="Q48" s="31" t="s">
        <v>216</v>
      </c>
      <c r="R48" s="31" t="s">
        <v>216</v>
      </c>
      <c r="S48" s="31" t="s">
        <v>216</v>
      </c>
      <c r="T48" s="31" t="s">
        <v>216</v>
      </c>
      <c r="U48" s="31" t="s">
        <v>216</v>
      </c>
      <c r="V48" s="35"/>
      <c r="W48" s="35" t="s">
        <v>216</v>
      </c>
      <c r="X48" s="35" t="s">
        <v>216</v>
      </c>
      <c r="Y48" s="31" t="s">
        <v>216</v>
      </c>
      <c r="Z48" s="31" t="s">
        <v>216</v>
      </c>
      <c r="AA48" s="31" t="s">
        <v>216</v>
      </c>
      <c r="AB48" s="31" t="s">
        <v>216</v>
      </c>
      <c r="AC48" s="31" t="s">
        <v>216</v>
      </c>
      <c r="AD48" s="31" t="s">
        <v>216</v>
      </c>
      <c r="AE48" s="31" t="s">
        <v>216</v>
      </c>
      <c r="AF48" s="31" t="s">
        <v>216</v>
      </c>
      <c r="AG48" s="31" t="s">
        <v>216</v>
      </c>
      <c r="AH48" s="31" t="s">
        <v>216</v>
      </c>
      <c r="AI48" s="31" t="s">
        <v>216</v>
      </c>
    </row>
    <row r="49" spans="1:35" ht="11.25">
      <c r="A49" s="100" t="str">
        <f aca="true" t="shared" si="10" ref="A49:A63">CONCATENATE(B49,C49)</f>
        <v>1A11</v>
      </c>
      <c r="B49" s="15" t="s">
        <v>332</v>
      </c>
      <c r="C49" s="15">
        <v>11</v>
      </c>
      <c r="D49" s="37">
        <v>1</v>
      </c>
      <c r="E49" s="15" t="s">
        <v>460</v>
      </c>
      <c r="F49" s="31" t="s">
        <v>216</v>
      </c>
      <c r="G49" s="15" t="str">
        <f>'LDC Account Table'!$B$2</f>
        <v>LDCDUNS##</v>
      </c>
      <c r="H49" s="15" t="str">
        <f>'Supplier Account Table'!$B$2</f>
        <v>SUPDUNS##</v>
      </c>
      <c r="I49" s="179">
        <f>VLOOKUP(B49,File_Dates,2,FALSE)</f>
        <v>35978</v>
      </c>
      <c r="J49" s="15" t="s">
        <v>181</v>
      </c>
      <c r="K49" s="15" t="s">
        <v>216</v>
      </c>
      <c r="L49" s="15" t="str">
        <f>'Supplier Account Table'!A13</f>
        <v>S0000000000008</v>
      </c>
      <c r="M49" s="15" t="str">
        <f>'Test Customer Information'!A11</f>
        <v>D0000000000008</v>
      </c>
      <c r="N49" s="12" t="str">
        <f>LEFT(VLOOKUP(M49,Customer_File,3,FALSE),4)</f>
        <v>SAND</v>
      </c>
      <c r="O49" s="180" t="s">
        <v>216</v>
      </c>
      <c r="P49" s="15" t="s">
        <v>426</v>
      </c>
      <c r="Q49" s="32" t="s">
        <v>216</v>
      </c>
      <c r="R49" s="32" t="s">
        <v>216</v>
      </c>
      <c r="S49" s="32" t="s">
        <v>216</v>
      </c>
      <c r="T49" s="15" t="s">
        <v>421</v>
      </c>
      <c r="U49" s="32" t="s">
        <v>216</v>
      </c>
      <c r="V49" s="16" t="s">
        <v>216</v>
      </c>
      <c r="W49" s="16" t="s">
        <v>216</v>
      </c>
      <c r="X49" s="16" t="s">
        <v>216</v>
      </c>
      <c r="Y49" s="32">
        <f>IF(P49="C",VLOOKUP(M49,Customer_File,5,FALSE),"")</f>
      </c>
      <c r="Z49" s="32" t="s">
        <v>216</v>
      </c>
      <c r="AA49" s="32" t="s">
        <v>216</v>
      </c>
      <c r="AB49" s="32" t="s">
        <v>216</v>
      </c>
      <c r="AC49" s="32" t="s">
        <v>216</v>
      </c>
      <c r="AD49" s="32" t="s">
        <v>216</v>
      </c>
      <c r="AE49" s="32" t="s">
        <v>216</v>
      </c>
      <c r="AF49" s="32" t="s">
        <v>216</v>
      </c>
      <c r="AG49" s="32" t="s">
        <v>216</v>
      </c>
      <c r="AH49" s="32" t="s">
        <v>216</v>
      </c>
      <c r="AI49" s="32" t="s">
        <v>216</v>
      </c>
    </row>
    <row r="50" spans="1:35" ht="11.25">
      <c r="A50" s="100" t="str">
        <f t="shared" si="10"/>
        <v>1B12</v>
      </c>
      <c r="B50" s="15" t="s">
        <v>333</v>
      </c>
      <c r="C50" s="15">
        <v>12</v>
      </c>
      <c r="D50" s="37">
        <v>4</v>
      </c>
      <c r="E50" s="15" t="s">
        <v>461</v>
      </c>
      <c r="F50" s="31" t="s">
        <v>216</v>
      </c>
      <c r="G50" s="15" t="str">
        <f>'LDC Account Table'!$B$2</f>
        <v>LDCDUNS##</v>
      </c>
      <c r="H50" s="15" t="str">
        <f>'Supplier Account Table'!$B$2</f>
        <v>SUPDUNS##</v>
      </c>
      <c r="I50" s="179">
        <f>VLOOKUP(B50,File_Dates,2,FALSE)</f>
        <v>35979</v>
      </c>
      <c r="J50" s="15" t="s">
        <v>181</v>
      </c>
      <c r="K50" s="15" t="s">
        <v>216</v>
      </c>
      <c r="L50" s="39" t="str">
        <f>L49</f>
        <v>S0000000000008</v>
      </c>
      <c r="M50" s="15" t="str">
        <f>M49</f>
        <v>D0000000000008</v>
      </c>
      <c r="N50" s="12" t="str">
        <f>LEFT(VLOOKUP(M50,Customer_File,3,FALSE),4)</f>
        <v>SAND</v>
      </c>
      <c r="O50" s="181">
        <f>VLOOKUP(VLOOKUP(M50,Customer_File,9,FALSE),July,2,FALSE)</f>
        <v>35982</v>
      </c>
      <c r="P50" s="15" t="s">
        <v>426</v>
      </c>
      <c r="Q50" s="32" t="s">
        <v>216</v>
      </c>
      <c r="R50" s="32" t="s">
        <v>216</v>
      </c>
      <c r="S50" s="32" t="s">
        <v>216</v>
      </c>
      <c r="T50" s="15" t="str">
        <f>VLOOKUP(M50,Customer_File,11,FALSE)</f>
        <v>E</v>
      </c>
      <c r="U50" s="15" t="str">
        <f>VLOOKUP(M50,Customer_File,14,FALSE)</f>
        <v>M000000014</v>
      </c>
      <c r="V50" s="17">
        <v>100</v>
      </c>
      <c r="W50" s="16"/>
      <c r="X50" s="17">
        <f>VLOOKUP(M50,Customer_File,9,FALSE)</f>
        <v>3</v>
      </c>
      <c r="Y50" s="32">
        <f>IF(P50="C",VLOOKUP(M50,Customer_File,5,FALSE),"")</f>
      </c>
      <c r="Z50" s="32" t="s">
        <v>216</v>
      </c>
      <c r="AA50" s="32" t="s">
        <v>216</v>
      </c>
      <c r="AB50" s="32" t="s">
        <v>216</v>
      </c>
      <c r="AC50" s="15" t="str">
        <f>VLOOKUP(M49,Customer_File,5,FALSE)</f>
        <v>105 STREET NAME</v>
      </c>
      <c r="AD50" s="15" t="str">
        <f>VLOOKUP(M49,Customer_File,6,FALSE)</f>
        <v> </v>
      </c>
      <c r="AE50" s="15" t="str">
        <f>LEFT(VLOOKUP(M50,Customer_File,7,FALSE),FIND(" ",VLOOKUP(M50,Customer_File,7,FALSE),1))</f>
        <v>TOWN </v>
      </c>
      <c r="AF50" s="15" t="s">
        <v>424</v>
      </c>
      <c r="AG50" s="15" t="str">
        <f>RIGHT(VLOOKUP(M50,Customer_File,7,FALSE),5)</f>
        <v>99999</v>
      </c>
      <c r="AH50" s="32" t="s">
        <v>216</v>
      </c>
      <c r="AI50" s="32" t="s">
        <v>216</v>
      </c>
    </row>
    <row r="51" spans="1:35" ht="11.25">
      <c r="A51" s="100" t="str">
        <f t="shared" si="10"/>
        <v>2A6</v>
      </c>
      <c r="B51" s="15" t="s">
        <v>64</v>
      </c>
      <c r="C51" s="15">
        <v>6</v>
      </c>
      <c r="D51" s="37">
        <v>8</v>
      </c>
      <c r="E51" s="15" t="s">
        <v>462</v>
      </c>
      <c r="F51" s="31" t="s">
        <v>216</v>
      </c>
      <c r="G51" s="15" t="str">
        <f>'LDC Account Table'!$B$2</f>
        <v>LDCDUNS##</v>
      </c>
      <c r="H51" s="15" t="str">
        <f>'Supplier Account Table'!$B$2</f>
        <v>SUPDUNS##</v>
      </c>
      <c r="I51" s="179">
        <f>VLOOKUP(B51,File_Dates,2,FALSE)</f>
        <v>35979</v>
      </c>
      <c r="J51" s="15" t="s">
        <v>183</v>
      </c>
      <c r="K51" s="15" t="s">
        <v>216</v>
      </c>
      <c r="L51" s="39" t="str">
        <f>L50</f>
        <v>S0000000000008</v>
      </c>
      <c r="M51" s="15" t="str">
        <f>M49</f>
        <v>D0000000000008</v>
      </c>
      <c r="N51" s="12" t="str">
        <f>LEFT(VLOOKUP(M51,Customer_File,3,FALSE),4)</f>
        <v>SAND</v>
      </c>
      <c r="O51" s="180">
        <f>IF(D51=4,VLOOKUP(VLOOKUP(M51,Customer_File,3,FALSE),July,2,FALSE),"")</f>
      </c>
      <c r="P51" s="32" t="s">
        <v>216</v>
      </c>
      <c r="Q51" s="32" t="s">
        <v>216</v>
      </c>
      <c r="R51" s="32" t="s">
        <v>216</v>
      </c>
      <c r="S51" s="32" t="s">
        <v>216</v>
      </c>
      <c r="T51" s="32" t="s">
        <v>216</v>
      </c>
      <c r="U51" s="32">
        <f>IF(D51=4,VLOOKUP(#REF!,Customer_File,7,FALSE),"")</f>
      </c>
      <c r="V51" s="16" t="s">
        <v>216</v>
      </c>
      <c r="W51" s="16" t="s">
        <v>216</v>
      </c>
      <c r="X51" s="16">
        <f>IF(AND(D51=4,P51="C"),VLOOKUP(M51,Customer_File,3,FALSE),"")</f>
      </c>
      <c r="Y51" s="32" t="s">
        <v>216</v>
      </c>
      <c r="Z51" s="32" t="s">
        <v>216</v>
      </c>
      <c r="AA51" s="32" t="s">
        <v>216</v>
      </c>
      <c r="AB51" s="32" t="s">
        <v>216</v>
      </c>
      <c r="AC51" s="32" t="s">
        <v>216</v>
      </c>
      <c r="AD51" s="32" t="s">
        <v>216</v>
      </c>
      <c r="AE51" s="32" t="s">
        <v>216</v>
      </c>
      <c r="AF51" s="32" t="s">
        <v>216</v>
      </c>
      <c r="AG51" s="32" t="s">
        <v>216</v>
      </c>
      <c r="AH51" s="32" t="s">
        <v>216</v>
      </c>
      <c r="AI51" s="32" t="s">
        <v>216</v>
      </c>
    </row>
    <row r="52" spans="1:35" ht="11.25">
      <c r="A52" s="100" t="str">
        <f t="shared" si="10"/>
        <v>2B9</v>
      </c>
      <c r="B52" s="15" t="s">
        <v>50</v>
      </c>
      <c r="C52" s="15">
        <v>9</v>
      </c>
      <c r="D52" s="37">
        <v>9</v>
      </c>
      <c r="E52" s="15" t="s">
        <v>463</v>
      </c>
      <c r="F52" s="31" t="s">
        <v>216</v>
      </c>
      <c r="G52" s="15" t="str">
        <f>'LDC Account Table'!$B$2</f>
        <v>LDCDUNS##</v>
      </c>
      <c r="H52" s="15" t="str">
        <f>'Supplier Account Table'!$B$2</f>
        <v>SUPDUNS##</v>
      </c>
      <c r="I52" s="179">
        <f>VLOOKUP(B52,File_Dates,2,FALSE)</f>
        <v>35982</v>
      </c>
      <c r="J52" s="15" t="s">
        <v>188</v>
      </c>
      <c r="K52" s="15" t="s">
        <v>216</v>
      </c>
      <c r="L52" s="39" t="str">
        <f>L51</f>
        <v>S0000000000008</v>
      </c>
      <c r="M52" s="15" t="str">
        <f>M51</f>
        <v>D0000000000008</v>
      </c>
      <c r="N52" s="12" t="str">
        <f>LEFT(VLOOKUP(M52,Customer_File,3,FALSE),4)</f>
        <v>SAND</v>
      </c>
      <c r="O52" s="181">
        <f>VLOOKUP(VLOOKUP(M52,Customer_File,9,FALSE),August,2,FALSE)</f>
        <v>36010</v>
      </c>
      <c r="P52" s="32" t="s">
        <v>216</v>
      </c>
      <c r="Q52" s="32" t="s">
        <v>216</v>
      </c>
      <c r="R52" s="32" t="s">
        <v>216</v>
      </c>
      <c r="S52" s="32" t="s">
        <v>216</v>
      </c>
      <c r="T52" s="32" t="s">
        <v>216</v>
      </c>
      <c r="U52" s="32">
        <f>IF(D52=4,VLOOKUP(M51,Customer_File,7,FALSE),"")</f>
      </c>
      <c r="V52" s="17">
        <v>100</v>
      </c>
      <c r="W52" s="16"/>
      <c r="X52" s="16">
        <f>IF(AND(D52=4,P52="C"),VLOOKUP(M52,Customer_File,3,FALSE),"")</f>
      </c>
      <c r="Y52" s="32" t="s">
        <v>216</v>
      </c>
      <c r="Z52" s="32" t="s">
        <v>216</v>
      </c>
      <c r="AA52" s="32" t="s">
        <v>216</v>
      </c>
      <c r="AB52" s="32" t="s">
        <v>216</v>
      </c>
      <c r="AC52" s="32" t="s">
        <v>216</v>
      </c>
      <c r="AD52" s="32" t="s">
        <v>216</v>
      </c>
      <c r="AE52" s="32" t="s">
        <v>216</v>
      </c>
      <c r="AF52" s="32" t="s">
        <v>216</v>
      </c>
      <c r="AG52" s="32" t="s">
        <v>216</v>
      </c>
      <c r="AH52" s="32" t="s">
        <v>216</v>
      </c>
      <c r="AI52" s="32" t="s">
        <v>216</v>
      </c>
    </row>
    <row r="53" spans="1:35" ht="5.25" customHeight="1">
      <c r="A53" s="100" t="str">
        <f t="shared" si="10"/>
        <v>  </v>
      </c>
      <c r="B53" s="31" t="s">
        <v>216</v>
      </c>
      <c r="C53" s="31" t="s">
        <v>216</v>
      </c>
      <c r="D53" s="34" t="s">
        <v>216</v>
      </c>
      <c r="E53" s="31" t="s">
        <v>216</v>
      </c>
      <c r="F53" s="31" t="s">
        <v>216</v>
      </c>
      <c r="G53" s="31"/>
      <c r="H53" s="31"/>
      <c r="I53" s="182"/>
      <c r="J53" s="31" t="s">
        <v>216</v>
      </c>
      <c r="K53" s="31"/>
      <c r="L53" s="31" t="s">
        <v>216</v>
      </c>
      <c r="M53" s="31" t="s">
        <v>216</v>
      </c>
      <c r="N53" s="31" t="s">
        <v>216</v>
      </c>
      <c r="O53" s="182" t="s">
        <v>216</v>
      </c>
      <c r="P53" s="31" t="s">
        <v>216</v>
      </c>
      <c r="Q53" s="31" t="s">
        <v>216</v>
      </c>
      <c r="R53" s="31" t="s">
        <v>216</v>
      </c>
      <c r="S53" s="31" t="s">
        <v>216</v>
      </c>
      <c r="T53" s="31" t="s">
        <v>216</v>
      </c>
      <c r="U53" s="31" t="s">
        <v>216</v>
      </c>
      <c r="V53" s="35"/>
      <c r="W53" s="35" t="s">
        <v>216</v>
      </c>
      <c r="X53" s="35" t="s">
        <v>216</v>
      </c>
      <c r="Y53" s="31" t="s">
        <v>216</v>
      </c>
      <c r="Z53" s="31" t="s">
        <v>216</v>
      </c>
      <c r="AA53" s="31" t="s">
        <v>216</v>
      </c>
      <c r="AB53" s="31" t="s">
        <v>216</v>
      </c>
      <c r="AC53" s="31" t="s">
        <v>216</v>
      </c>
      <c r="AD53" s="31" t="s">
        <v>216</v>
      </c>
      <c r="AE53" s="31" t="s">
        <v>216</v>
      </c>
      <c r="AF53" s="31" t="s">
        <v>216</v>
      </c>
      <c r="AG53" s="31" t="s">
        <v>216</v>
      </c>
      <c r="AH53" s="31" t="s">
        <v>216</v>
      </c>
      <c r="AI53" s="31" t="s">
        <v>216</v>
      </c>
    </row>
    <row r="54" spans="1:35" ht="11.25">
      <c r="A54" s="100" t="str">
        <f t="shared" si="10"/>
        <v>2A7</v>
      </c>
      <c r="B54" s="12" t="s">
        <v>64</v>
      </c>
      <c r="C54" s="12">
        <v>7</v>
      </c>
      <c r="D54" s="30">
        <v>1</v>
      </c>
      <c r="E54" s="12" t="s">
        <v>464</v>
      </c>
      <c r="F54" s="31" t="s">
        <v>216</v>
      </c>
      <c r="G54" s="15" t="str">
        <f>'LDC Account Table'!$B$2</f>
        <v>LDCDUNS##</v>
      </c>
      <c r="H54" s="15" t="str">
        <f>'Supplier Account Table'!$B$2</f>
        <v>SUPDUNS##</v>
      </c>
      <c r="I54" s="179">
        <f>VLOOKUP(B54,File_Dates,2,FALSE)</f>
        <v>35979</v>
      </c>
      <c r="J54" s="12" t="s">
        <v>181</v>
      </c>
      <c r="K54" s="12" t="s">
        <v>216</v>
      </c>
      <c r="L54" s="12" t="str">
        <f>'Supplier Account Table'!A6</f>
        <v>S0000000000002</v>
      </c>
      <c r="M54" s="12" t="str">
        <f>'Test Customer Information'!A3</f>
        <v>D0000000000002</v>
      </c>
      <c r="N54" s="12" t="str">
        <f>LEFT(VLOOKUP(M54,Customer_File,3,FALSE),4)</f>
        <v>SMIT</v>
      </c>
      <c r="O54" s="180">
        <f>IF(D54=4,VLOOKUP(VLOOKUP(M54,Customer_File,3,FALSE),July,2,FALSE),"")</f>
      </c>
      <c r="P54" s="12" t="s">
        <v>426</v>
      </c>
      <c r="Q54" s="32" t="s">
        <v>216</v>
      </c>
      <c r="R54" s="32" t="s">
        <v>216</v>
      </c>
      <c r="S54" s="32" t="s">
        <v>216</v>
      </c>
      <c r="T54" s="12" t="s">
        <v>421</v>
      </c>
      <c r="U54" s="32">
        <f>IF(D54=4,VLOOKUP(M56,Customer_File,7,FALSE),"")</f>
      </c>
      <c r="V54" s="16" t="s">
        <v>216</v>
      </c>
      <c r="W54" s="16" t="s">
        <v>216</v>
      </c>
      <c r="X54" s="16">
        <f>IF(AND(D54=4,P54="C"),VLOOKUP(M54,Customer_File,3,FALSE),"")</f>
      </c>
      <c r="Y54" s="32">
        <f>IF(P54="C",VLOOKUP(M54,Customer_File,4,FALSE),"")</f>
      </c>
      <c r="Z54" s="32" t="s">
        <v>216</v>
      </c>
      <c r="AA54" s="32" t="s">
        <v>216</v>
      </c>
      <c r="AB54" s="32" t="s">
        <v>216</v>
      </c>
      <c r="AC54" s="32" t="s">
        <v>216</v>
      </c>
      <c r="AD54" s="32" t="s">
        <v>216</v>
      </c>
      <c r="AE54" s="32" t="s">
        <v>216</v>
      </c>
      <c r="AF54" s="32" t="s">
        <v>216</v>
      </c>
      <c r="AG54" s="32" t="s">
        <v>216</v>
      </c>
      <c r="AH54" s="32" t="s">
        <v>216</v>
      </c>
      <c r="AI54" s="32" t="s">
        <v>216</v>
      </c>
    </row>
    <row r="55" spans="1:35" ht="11.25">
      <c r="A55" s="100" t="str">
        <f t="shared" si="10"/>
        <v>2B10</v>
      </c>
      <c r="B55" s="12" t="s">
        <v>50</v>
      </c>
      <c r="C55" s="12">
        <v>10</v>
      </c>
      <c r="D55" s="30">
        <v>6</v>
      </c>
      <c r="E55" s="12" t="s">
        <v>465</v>
      </c>
      <c r="F55" s="31" t="s">
        <v>216</v>
      </c>
      <c r="G55" s="15" t="str">
        <f>'LDC Account Table'!$B$2</f>
        <v>LDCDUNS##</v>
      </c>
      <c r="H55" s="15" t="str">
        <f>'Supplier Account Table'!$B$2</f>
        <v>SUPDUNS##</v>
      </c>
      <c r="I55" s="179">
        <f>VLOOKUP(B55,File_Dates,2,FALSE)</f>
        <v>35982</v>
      </c>
      <c r="J55" s="12" t="s">
        <v>185</v>
      </c>
      <c r="K55" s="12" t="s">
        <v>216</v>
      </c>
      <c r="L55" s="12" t="str">
        <f>L54</f>
        <v>S0000000000002</v>
      </c>
      <c r="M55" s="12" t="str">
        <f>M54</f>
        <v>D0000000000002</v>
      </c>
      <c r="N55" s="12" t="str">
        <f>LEFT(VLOOKUP(M55,Customer_File,3,FALSE),4)</f>
        <v>SMIT</v>
      </c>
      <c r="O55" s="180">
        <f>IF(D55=4,VLOOKUP(VLOOKUP(M55,Customer_File,4,FALSE),August,2,FALSE),"")</f>
      </c>
      <c r="P55" s="32" t="s">
        <v>216</v>
      </c>
      <c r="Q55" s="32" t="s">
        <v>216</v>
      </c>
      <c r="R55" s="32" t="s">
        <v>216</v>
      </c>
      <c r="S55" s="32" t="s">
        <v>216</v>
      </c>
      <c r="T55" s="32" t="s">
        <v>216</v>
      </c>
      <c r="U55" s="32">
        <f>IF(D55=4,VLOOKUP(M54,Customer_File,9,FALSE),"")</f>
      </c>
      <c r="V55" s="17">
        <v>167</v>
      </c>
      <c r="W55" s="16"/>
      <c r="X55" s="16">
        <f>IF(AND(D55=4,P55="C"),VLOOKUP(M55,Customer_File,3,FALSE),"")</f>
      </c>
      <c r="Y55" s="32">
        <f>IF(P55="C",VLOOKUP(M55,Customer_File,4,FALSE),"")</f>
      </c>
      <c r="Z55" s="32" t="s">
        <v>216</v>
      </c>
      <c r="AA55" s="32" t="s">
        <v>216</v>
      </c>
      <c r="AB55" s="32" t="s">
        <v>216</v>
      </c>
      <c r="AC55" s="32" t="s">
        <v>216</v>
      </c>
      <c r="AD55" s="32" t="s">
        <v>216</v>
      </c>
      <c r="AE55" s="32" t="s">
        <v>216</v>
      </c>
      <c r="AF55" s="32" t="s">
        <v>216</v>
      </c>
      <c r="AG55" s="32" t="s">
        <v>216</v>
      </c>
      <c r="AH55" s="32" t="s">
        <v>216</v>
      </c>
      <c r="AI55" s="32" t="s">
        <v>216</v>
      </c>
    </row>
    <row r="56" spans="1:35" ht="5.25" customHeight="1">
      <c r="A56" s="100" t="str">
        <f t="shared" si="10"/>
        <v>  </v>
      </c>
      <c r="B56" s="31" t="s">
        <v>216</v>
      </c>
      <c r="C56" s="31" t="s">
        <v>216</v>
      </c>
      <c r="D56" s="34" t="s">
        <v>216</v>
      </c>
      <c r="E56" s="31" t="s">
        <v>216</v>
      </c>
      <c r="F56" s="31" t="s">
        <v>216</v>
      </c>
      <c r="G56" s="31"/>
      <c r="H56" s="31"/>
      <c r="I56" s="182"/>
      <c r="J56" s="31" t="s">
        <v>216</v>
      </c>
      <c r="K56" s="31"/>
      <c r="L56" s="31" t="s">
        <v>216</v>
      </c>
      <c r="M56" s="31" t="s">
        <v>216</v>
      </c>
      <c r="N56" s="31" t="s">
        <v>216</v>
      </c>
      <c r="O56" s="182">
        <f>IF(D56=4,VLOOKUP(VLOOKUP(M56,Customer_File,3,FALSE),July,2,FALSE),"")</f>
      </c>
      <c r="P56" s="31" t="s">
        <v>216</v>
      </c>
      <c r="Q56" s="31" t="s">
        <v>216</v>
      </c>
      <c r="R56" s="31" t="s">
        <v>216</v>
      </c>
      <c r="S56" s="31" t="s">
        <v>216</v>
      </c>
      <c r="T56" s="31" t="s">
        <v>216</v>
      </c>
      <c r="U56" s="31">
        <f>IF(D56=4,VLOOKUP(M53,Customer_File,7,FALSE),"")</f>
      </c>
      <c r="V56" s="35"/>
      <c r="W56" s="35" t="s">
        <v>216</v>
      </c>
      <c r="X56" s="35">
        <f>IF(AND(D56=4,P56="C"),VLOOKUP(M56,Customer_File,3,FALSE),"")</f>
      </c>
      <c r="Y56" s="31" t="s">
        <v>216</v>
      </c>
      <c r="Z56" s="31" t="s">
        <v>216</v>
      </c>
      <c r="AA56" s="31" t="s">
        <v>216</v>
      </c>
      <c r="AB56" s="31" t="s">
        <v>216</v>
      </c>
      <c r="AC56" s="31" t="s">
        <v>216</v>
      </c>
      <c r="AD56" s="31" t="s">
        <v>216</v>
      </c>
      <c r="AE56" s="31" t="s">
        <v>216</v>
      </c>
      <c r="AF56" s="31" t="s">
        <v>216</v>
      </c>
      <c r="AG56" s="31" t="s">
        <v>216</v>
      </c>
      <c r="AH56" s="31" t="s">
        <v>216</v>
      </c>
      <c r="AI56" s="31" t="s">
        <v>216</v>
      </c>
    </row>
    <row r="57" spans="1:35" ht="11.25">
      <c r="A57" s="100" t="str">
        <f t="shared" si="10"/>
        <v>1A12</v>
      </c>
      <c r="B57" s="15" t="s">
        <v>332</v>
      </c>
      <c r="C57" s="15">
        <v>12</v>
      </c>
      <c r="D57" s="37">
        <v>1</v>
      </c>
      <c r="E57" s="15" t="s">
        <v>466</v>
      </c>
      <c r="F57" s="31" t="s">
        <v>216</v>
      </c>
      <c r="G57" s="15" t="str">
        <f>'LDC Account Table'!$B$2</f>
        <v>LDCDUNS##</v>
      </c>
      <c r="H57" s="15" t="str">
        <f>'Supplier Account Table'!$B$2</f>
        <v>SUPDUNS##</v>
      </c>
      <c r="I57" s="179">
        <f>VLOOKUP(B57,File_Dates,2,FALSE)</f>
        <v>35978</v>
      </c>
      <c r="J57" s="15" t="s">
        <v>181</v>
      </c>
      <c r="K57" s="15" t="s">
        <v>216</v>
      </c>
      <c r="L57" s="39" t="str">
        <f>'Supplier Account Table'!A14</f>
        <v>S0000000000009</v>
      </c>
      <c r="M57" s="15" t="str">
        <f>'Test Customer Information'!A12</f>
        <v>D0000000000009</v>
      </c>
      <c r="N57" s="12" t="str">
        <f aca="true" t="shared" si="11" ref="N57:N83">LEFT(VLOOKUP(M57,Customer_File,3,FALSE),4)</f>
        <v>CURM</v>
      </c>
      <c r="O57" s="180" t="s">
        <v>216</v>
      </c>
      <c r="P57" s="15" t="s">
        <v>426</v>
      </c>
      <c r="Q57" s="32" t="s">
        <v>216</v>
      </c>
      <c r="R57" s="32" t="s">
        <v>216</v>
      </c>
      <c r="S57" s="32" t="s">
        <v>216</v>
      </c>
      <c r="T57" s="15" t="s">
        <v>421</v>
      </c>
      <c r="U57" s="32" t="s">
        <v>216</v>
      </c>
      <c r="V57" s="16" t="s">
        <v>216</v>
      </c>
      <c r="W57" s="16" t="s">
        <v>216</v>
      </c>
      <c r="X57" s="16" t="s">
        <v>216</v>
      </c>
      <c r="Y57" s="32">
        <f>IF(P57="C",VLOOKUP(M57,Customer_File,5,FALSE),"")</f>
      </c>
      <c r="Z57" s="32" t="s">
        <v>216</v>
      </c>
      <c r="AA57" s="32" t="s">
        <v>216</v>
      </c>
      <c r="AB57" s="32" t="s">
        <v>216</v>
      </c>
      <c r="AC57" s="32" t="s">
        <v>216</v>
      </c>
      <c r="AD57" s="32" t="s">
        <v>216</v>
      </c>
      <c r="AE57" s="32" t="s">
        <v>216</v>
      </c>
      <c r="AF57" s="32" t="s">
        <v>216</v>
      </c>
      <c r="AG57" s="32" t="s">
        <v>216</v>
      </c>
      <c r="AH57" s="32" t="s">
        <v>216</v>
      </c>
      <c r="AI57" s="32" t="s">
        <v>216</v>
      </c>
    </row>
    <row r="58" spans="1:35" ht="11.25">
      <c r="A58" s="100" t="str">
        <f t="shared" si="10"/>
        <v>1B13</v>
      </c>
      <c r="B58" s="15" t="s">
        <v>333</v>
      </c>
      <c r="C58" s="15">
        <v>13</v>
      </c>
      <c r="D58" s="37">
        <v>4</v>
      </c>
      <c r="E58" s="15" t="s">
        <v>467</v>
      </c>
      <c r="F58" s="31" t="s">
        <v>216</v>
      </c>
      <c r="G58" s="15" t="str">
        <f>'LDC Account Table'!$B$2</f>
        <v>LDCDUNS##</v>
      </c>
      <c r="H58" s="15" t="str">
        <f>'Supplier Account Table'!$B$2</f>
        <v>SUPDUNS##</v>
      </c>
      <c r="I58" s="179">
        <f aca="true" t="shared" si="12" ref="I58:I73">VLOOKUP(B58,File_Dates,2,FALSE)</f>
        <v>35979</v>
      </c>
      <c r="J58" s="15" t="s">
        <v>181</v>
      </c>
      <c r="K58" s="15" t="s">
        <v>216</v>
      </c>
      <c r="L58" s="39" t="str">
        <f>L57</f>
        <v>S0000000000009</v>
      </c>
      <c r="M58" s="15" t="str">
        <f>M57</f>
        <v>D0000000000009</v>
      </c>
      <c r="N58" s="12" t="str">
        <f t="shared" si="11"/>
        <v>CURM</v>
      </c>
      <c r="O58" s="181">
        <f>VLOOKUP(VLOOKUP(M58,Customer_File,9,FALSE),July,2,FALSE)</f>
        <v>35985</v>
      </c>
      <c r="P58" s="15" t="s">
        <v>426</v>
      </c>
      <c r="Q58" s="32" t="s">
        <v>216</v>
      </c>
      <c r="R58" s="32" t="s">
        <v>216</v>
      </c>
      <c r="S58" s="32" t="s">
        <v>216</v>
      </c>
      <c r="T58" s="15" t="str">
        <f>VLOOKUP(M58,Customer_File,11,FALSE)</f>
        <v>E</v>
      </c>
      <c r="U58" s="15" t="str">
        <f>VLOOKUP(M58,Customer_File,14,FALSE)</f>
        <v>M000000015</v>
      </c>
      <c r="V58" s="17">
        <v>100</v>
      </c>
      <c r="W58" s="16"/>
      <c r="X58" s="17">
        <f>VLOOKUP(M58,Customer_File,9,FALSE)</f>
        <v>6</v>
      </c>
      <c r="Y58" s="32">
        <f>IF(P58="C",VLOOKUP(M58,Customer_File,5,FALSE),"")</f>
      </c>
      <c r="Z58" s="32" t="s">
        <v>216</v>
      </c>
      <c r="AA58" s="32" t="s">
        <v>216</v>
      </c>
      <c r="AB58" s="32" t="s">
        <v>216</v>
      </c>
      <c r="AC58" s="15" t="str">
        <f>VLOOKUP(M57,Customer_File,5,FALSE)</f>
        <v>106 STREET NAME</v>
      </c>
      <c r="AD58" s="15" t="str">
        <f>VLOOKUP(M57,Customer_File,6,FALSE)</f>
        <v> </v>
      </c>
      <c r="AE58" s="15" t="str">
        <f>LEFT(VLOOKUP(M58,Customer_File,7,FALSE),FIND(" ",VLOOKUP(M58,Customer_File,7,FALSE),1))</f>
        <v>TOWN </v>
      </c>
      <c r="AF58" s="15" t="s">
        <v>424</v>
      </c>
      <c r="AG58" s="15" t="str">
        <f>RIGHT(VLOOKUP(M58,Customer_File,7,FALSE),5)</f>
        <v>99999</v>
      </c>
      <c r="AH58" s="32" t="s">
        <v>216</v>
      </c>
      <c r="AI58" s="32" t="s">
        <v>216</v>
      </c>
    </row>
    <row r="59" spans="1:35" ht="11.25">
      <c r="A59" s="100" t="str">
        <f t="shared" si="10"/>
        <v>1A13</v>
      </c>
      <c r="B59" s="15" t="s">
        <v>332</v>
      </c>
      <c r="C59" s="15">
        <v>13</v>
      </c>
      <c r="D59" s="37">
        <v>1</v>
      </c>
      <c r="E59" s="15" t="s">
        <v>468</v>
      </c>
      <c r="F59" s="31" t="s">
        <v>216</v>
      </c>
      <c r="G59" s="15" t="str">
        <f>'LDC Account Table'!$B$2</f>
        <v>LDCDUNS##</v>
      </c>
      <c r="H59" s="15" t="str">
        <f>'Supplier Account Table'!$B$2</f>
        <v>SUPDUNS##</v>
      </c>
      <c r="I59" s="179">
        <f t="shared" si="12"/>
        <v>35978</v>
      </c>
      <c r="J59" s="15" t="s">
        <v>181</v>
      </c>
      <c r="K59" s="15" t="s">
        <v>216</v>
      </c>
      <c r="L59" s="39" t="str">
        <f>'Supplier Account Table'!A15</f>
        <v>S0000000000010</v>
      </c>
      <c r="M59" s="15" t="str">
        <f>'Test Customer Information'!A13</f>
        <v>D0000000000010</v>
      </c>
      <c r="N59" s="12" t="str">
        <f t="shared" si="11"/>
        <v>OGIL</v>
      </c>
      <c r="O59" s="180" t="s">
        <v>216</v>
      </c>
      <c r="P59" s="15" t="s">
        <v>426</v>
      </c>
      <c r="Q59" s="32" t="s">
        <v>216</v>
      </c>
      <c r="R59" s="32" t="s">
        <v>216</v>
      </c>
      <c r="S59" s="32" t="s">
        <v>216</v>
      </c>
      <c r="T59" s="15" t="s">
        <v>421</v>
      </c>
      <c r="U59" s="32" t="s">
        <v>216</v>
      </c>
      <c r="V59" s="16" t="s">
        <v>216</v>
      </c>
      <c r="W59" s="16" t="s">
        <v>216</v>
      </c>
      <c r="X59" s="16" t="s">
        <v>216</v>
      </c>
      <c r="Y59" s="32">
        <f>IF(P59="C",VLOOKUP(M59,Customer_File,5,FALSE),"")</f>
      </c>
      <c r="Z59" s="32" t="s">
        <v>216</v>
      </c>
      <c r="AA59" s="32" t="s">
        <v>216</v>
      </c>
      <c r="AB59" s="32" t="s">
        <v>216</v>
      </c>
      <c r="AC59" s="32" t="s">
        <v>216</v>
      </c>
      <c r="AD59" s="32" t="s">
        <v>216</v>
      </c>
      <c r="AE59" s="32" t="s">
        <v>216</v>
      </c>
      <c r="AF59" s="32" t="s">
        <v>216</v>
      </c>
      <c r="AG59" s="32" t="s">
        <v>216</v>
      </c>
      <c r="AH59" s="32" t="s">
        <v>216</v>
      </c>
      <c r="AI59" s="32" t="s">
        <v>216</v>
      </c>
    </row>
    <row r="60" spans="1:35" ht="11.25">
      <c r="A60" s="100" t="str">
        <f t="shared" si="10"/>
        <v>1B14</v>
      </c>
      <c r="B60" s="15" t="s">
        <v>333</v>
      </c>
      <c r="C60" s="15">
        <v>14</v>
      </c>
      <c r="D60" s="37">
        <v>4</v>
      </c>
      <c r="E60" s="15" t="s">
        <v>469</v>
      </c>
      <c r="F60" s="31" t="s">
        <v>216</v>
      </c>
      <c r="G60" s="15" t="str">
        <f>'LDC Account Table'!$B$2</f>
        <v>LDCDUNS##</v>
      </c>
      <c r="H60" s="15" t="str">
        <f>'Supplier Account Table'!$B$2</f>
        <v>SUPDUNS##</v>
      </c>
      <c r="I60" s="179">
        <f t="shared" si="12"/>
        <v>35979</v>
      </c>
      <c r="J60" s="15" t="s">
        <v>181</v>
      </c>
      <c r="K60" s="15" t="s">
        <v>216</v>
      </c>
      <c r="L60" s="39" t="str">
        <f>L59</f>
        <v>S0000000000010</v>
      </c>
      <c r="M60" s="15" t="str">
        <f>M59</f>
        <v>D0000000000010</v>
      </c>
      <c r="N60" s="12" t="str">
        <f t="shared" si="11"/>
        <v>OGIL</v>
      </c>
      <c r="O60" s="179">
        <f>VLOOKUP(VLOOKUP(M60,Customer_File,9,FALSE),July,2,FALSE)</f>
        <v>35985</v>
      </c>
      <c r="P60" s="15" t="s">
        <v>426</v>
      </c>
      <c r="Q60" s="32" t="s">
        <v>216</v>
      </c>
      <c r="R60" s="32" t="s">
        <v>216</v>
      </c>
      <c r="S60" s="32" t="s">
        <v>216</v>
      </c>
      <c r="T60" s="15" t="str">
        <f>VLOOKUP(M60,Customer_File,11,FALSE)</f>
        <v>D</v>
      </c>
      <c r="U60" s="15" t="str">
        <f>VLOOKUP(M60,Customer_File,14,FALSE)</f>
        <v>M000000017</v>
      </c>
      <c r="V60" s="17">
        <v>100</v>
      </c>
      <c r="W60" s="16"/>
      <c r="X60" s="17">
        <f>VLOOKUP(M60,Customer_File,9,FALSE)</f>
        <v>6</v>
      </c>
      <c r="Y60" s="32">
        <f>IF(P60="C",VLOOKUP(M60,Customer_File,5,FALSE),"")</f>
      </c>
      <c r="Z60" s="32" t="s">
        <v>216</v>
      </c>
      <c r="AA60" s="32" t="s">
        <v>216</v>
      </c>
      <c r="AB60" s="32" t="s">
        <v>216</v>
      </c>
      <c r="AC60" s="15" t="str">
        <f>VLOOKUP(M59,Customer_File,5,FALSE)</f>
        <v>107 STREET NAME</v>
      </c>
      <c r="AD60" s="15" t="str">
        <f>VLOOKUP(M59,Customer_File,6,FALSE)</f>
        <v> </v>
      </c>
      <c r="AE60" s="15" t="str">
        <f>LEFT(VLOOKUP(M60,Customer_File,7,FALSE),FIND(" ",VLOOKUP(M60,Customer_File,7,FALSE),1))</f>
        <v>TOWN </v>
      </c>
      <c r="AF60" s="15" t="s">
        <v>424</v>
      </c>
      <c r="AG60" s="15" t="str">
        <f>RIGHT(VLOOKUP(M60,Customer_File,7,FALSE),5)</f>
        <v>99999</v>
      </c>
      <c r="AH60" s="32" t="s">
        <v>216</v>
      </c>
      <c r="AI60" s="32" t="s">
        <v>216</v>
      </c>
    </row>
    <row r="61" spans="1:35" ht="11.25">
      <c r="A61" s="100" t="str">
        <f t="shared" si="10"/>
        <v>1B15</v>
      </c>
      <c r="B61" s="15" t="s">
        <v>333</v>
      </c>
      <c r="C61" s="15">
        <v>15</v>
      </c>
      <c r="D61" s="37">
        <v>4</v>
      </c>
      <c r="E61" s="15" t="s">
        <v>470</v>
      </c>
      <c r="F61" s="31" t="s">
        <v>216</v>
      </c>
      <c r="G61" s="15" t="str">
        <f>'LDC Account Table'!$B$2</f>
        <v>LDCDUNS##</v>
      </c>
      <c r="H61" s="15" t="str">
        <f>'Supplier Account Table'!$B$2</f>
        <v>SUPDUNS##</v>
      </c>
      <c r="I61" s="179">
        <f t="shared" si="12"/>
        <v>35979</v>
      </c>
      <c r="J61" s="15" t="s">
        <v>181</v>
      </c>
      <c r="K61" s="15" t="s">
        <v>216</v>
      </c>
      <c r="L61" s="39" t="str">
        <f>L60</f>
        <v>S0000000000010</v>
      </c>
      <c r="M61" s="15" t="str">
        <f>M60</f>
        <v>D0000000000010</v>
      </c>
      <c r="N61" s="12" t="str">
        <f t="shared" si="11"/>
        <v>OGIL</v>
      </c>
      <c r="O61" s="179">
        <f>VLOOKUP(VLOOKUP(M61,Customer_File,9,FALSE),July,2,FALSE)</f>
        <v>35985</v>
      </c>
      <c r="P61" s="15" t="s">
        <v>426</v>
      </c>
      <c r="Q61" s="32" t="s">
        <v>216</v>
      </c>
      <c r="R61" s="32" t="s">
        <v>216</v>
      </c>
      <c r="S61" s="32" t="s">
        <v>216</v>
      </c>
      <c r="T61" s="15" t="str">
        <f>VLOOKUP(M61,Customer_File,11,FALSE)</f>
        <v>D</v>
      </c>
      <c r="U61" s="15" t="str">
        <f>VLOOKUP(M61,Customer_File,18,FALSE)</f>
        <v>M000000018</v>
      </c>
      <c r="V61" s="17">
        <v>100</v>
      </c>
      <c r="W61" s="16"/>
      <c r="X61" s="17">
        <f>VLOOKUP(M61,Customer_File,9,FALSE)</f>
        <v>6</v>
      </c>
      <c r="Y61" s="32">
        <f>IF(P61="C",VLOOKUP(M61,Customer_File,5,FALSE),"")</f>
      </c>
      <c r="Z61" s="32" t="s">
        <v>216</v>
      </c>
      <c r="AA61" s="32" t="s">
        <v>216</v>
      </c>
      <c r="AB61" s="32" t="s">
        <v>216</v>
      </c>
      <c r="AC61" s="15" t="str">
        <f>VLOOKUP(M60,Customer_File,5,FALSE)</f>
        <v>107 STREET NAME</v>
      </c>
      <c r="AD61" s="15" t="str">
        <f>VLOOKUP(M60,Customer_File,6,FALSE)</f>
        <v> </v>
      </c>
      <c r="AE61" s="15" t="str">
        <f>LEFT(VLOOKUP(M61,Customer_File,7,FALSE),FIND(" ",VLOOKUP(M61,Customer_File,7,FALSE),1))</f>
        <v>TOWN </v>
      </c>
      <c r="AF61" s="15" t="s">
        <v>424</v>
      </c>
      <c r="AG61" s="15" t="str">
        <f>RIGHT(VLOOKUP(M61,Customer_File,7,FALSE),5)</f>
        <v>99999</v>
      </c>
      <c r="AH61" s="32" t="s">
        <v>216</v>
      </c>
      <c r="AI61" s="32" t="s">
        <v>216</v>
      </c>
    </row>
    <row r="62" spans="1:35" ht="11.25">
      <c r="A62" s="100" t="str">
        <f t="shared" si="10"/>
        <v>1A14</v>
      </c>
      <c r="B62" s="15" t="s">
        <v>332</v>
      </c>
      <c r="C62" s="15">
        <v>14</v>
      </c>
      <c r="D62" s="37">
        <v>1</v>
      </c>
      <c r="E62" s="15" t="s">
        <v>471</v>
      </c>
      <c r="F62" s="31" t="s">
        <v>216</v>
      </c>
      <c r="G62" s="15" t="str">
        <f>'LDC Account Table'!$B$2</f>
        <v>LDCDUNS##</v>
      </c>
      <c r="H62" s="15" t="str">
        <f>'Supplier Account Table'!$B$2</f>
        <v>SUPDUNS##</v>
      </c>
      <c r="I62" s="179">
        <f t="shared" si="12"/>
        <v>35978</v>
      </c>
      <c r="J62" s="15" t="s">
        <v>181</v>
      </c>
      <c r="K62" s="15" t="s">
        <v>216</v>
      </c>
      <c r="L62" s="39" t="str">
        <f>'Supplier Account Table'!A16</f>
        <v>S0000000000011</v>
      </c>
      <c r="M62" s="15" t="str">
        <f>'Test Customer Information'!A14</f>
        <v>D0000000000011</v>
      </c>
      <c r="N62" s="12" t="str">
        <f t="shared" si="11"/>
        <v>CRAN</v>
      </c>
      <c r="O62" s="180" t="s">
        <v>216</v>
      </c>
      <c r="P62" s="15" t="s">
        <v>182</v>
      </c>
      <c r="Q62" s="32" t="s">
        <v>216</v>
      </c>
      <c r="R62" s="15" t="s">
        <v>363</v>
      </c>
      <c r="S62" s="15" t="s">
        <v>364</v>
      </c>
      <c r="T62" s="15" t="s">
        <v>421</v>
      </c>
      <c r="U62" s="32" t="s">
        <v>216</v>
      </c>
      <c r="V62" s="16" t="s">
        <v>216</v>
      </c>
      <c r="W62" s="16" t="s">
        <v>216</v>
      </c>
      <c r="X62" s="16" t="s">
        <v>216</v>
      </c>
      <c r="Y62" s="12" t="str">
        <f>IF(P62="C",VLOOKUP(M62,Customer_File,10,FALSE),"")</f>
        <v>N</v>
      </c>
      <c r="Z62" s="32" t="s">
        <v>216</v>
      </c>
      <c r="AA62" s="32" t="s">
        <v>216</v>
      </c>
      <c r="AB62" s="32" t="s">
        <v>216</v>
      </c>
      <c r="AC62" s="32" t="s">
        <v>216</v>
      </c>
      <c r="AD62" s="32" t="s">
        <v>216</v>
      </c>
      <c r="AE62" s="32" t="s">
        <v>216</v>
      </c>
      <c r="AF62" s="32" t="s">
        <v>216</v>
      </c>
      <c r="AG62" s="32" t="s">
        <v>216</v>
      </c>
      <c r="AH62" s="32" t="s">
        <v>216</v>
      </c>
      <c r="AI62" s="32" t="s">
        <v>216</v>
      </c>
    </row>
    <row r="63" spans="1:35" ht="11.25">
      <c r="A63" s="100" t="str">
        <f t="shared" si="10"/>
        <v>1B16</v>
      </c>
      <c r="B63" s="15" t="s">
        <v>333</v>
      </c>
      <c r="C63" s="15">
        <v>16</v>
      </c>
      <c r="D63" s="37">
        <v>4</v>
      </c>
      <c r="E63" s="15" t="s">
        <v>472</v>
      </c>
      <c r="F63" s="31" t="s">
        <v>216</v>
      </c>
      <c r="G63" s="15" t="str">
        <f>'LDC Account Table'!$B$2</f>
        <v>LDCDUNS##</v>
      </c>
      <c r="H63" s="15" t="str">
        <f>'Supplier Account Table'!$B$2</f>
        <v>SUPDUNS##</v>
      </c>
      <c r="I63" s="179">
        <f t="shared" si="12"/>
        <v>35979</v>
      </c>
      <c r="J63" s="15" t="s">
        <v>181</v>
      </c>
      <c r="K63" s="15" t="s">
        <v>216</v>
      </c>
      <c r="L63" s="39" t="str">
        <f>L62</f>
        <v>S0000000000011</v>
      </c>
      <c r="M63" s="15" t="str">
        <f>M62</f>
        <v>D0000000000011</v>
      </c>
      <c r="N63" s="12" t="str">
        <f t="shared" si="11"/>
        <v>CRAN</v>
      </c>
      <c r="O63" s="181">
        <f>VLOOKUP(VLOOKUP(M63,Customer_File,9,FALSE),July,2,FALSE)</f>
        <v>35985</v>
      </c>
      <c r="P63" s="15" t="s">
        <v>182</v>
      </c>
      <c r="Q63" s="32" t="s">
        <v>216</v>
      </c>
      <c r="R63" s="15" t="s">
        <v>363</v>
      </c>
      <c r="S63" s="15" t="s">
        <v>364</v>
      </c>
      <c r="T63" s="15" t="str">
        <f>VLOOKUP(M63,Customer_File,11,FALSE)</f>
        <v>E</v>
      </c>
      <c r="U63" s="15" t="str">
        <f>VLOOKUP(M63,Customer_File,14,FALSE)</f>
        <v>M000000019</v>
      </c>
      <c r="V63" s="17">
        <v>100</v>
      </c>
      <c r="W63" s="16"/>
      <c r="X63" s="17">
        <f>VLOOKUP(M63,Customer_File,9,FALSE)</f>
        <v>6</v>
      </c>
      <c r="Y63" s="12" t="str">
        <f>IF(P63="C",VLOOKUP(M63,Customer_File,10,FALSE),"")</f>
        <v>N</v>
      </c>
      <c r="Z63" s="32" t="s">
        <v>216</v>
      </c>
      <c r="AA63" s="32" t="s">
        <v>216</v>
      </c>
      <c r="AB63" s="32" t="s">
        <v>216</v>
      </c>
      <c r="AC63" s="15" t="str">
        <f>VLOOKUP(M62,Customer_File,5,FALSE)</f>
        <v>108 STREET NAME</v>
      </c>
      <c r="AD63" s="15" t="str">
        <f>VLOOKUP(M62,Customer_File,6,FALSE)</f>
        <v> </v>
      </c>
      <c r="AE63" s="15" t="str">
        <f>LEFT(VLOOKUP(M63,Customer_File,7,FALSE),FIND(" ",VLOOKUP(M63,Customer_File,7,FALSE),1))</f>
        <v>TOWN </v>
      </c>
      <c r="AF63" s="15" t="s">
        <v>424</v>
      </c>
      <c r="AG63" s="15" t="str">
        <f>RIGHT(VLOOKUP(M63,Customer_File,7,FALSE),5)</f>
        <v>99999</v>
      </c>
      <c r="AH63" s="32" t="s">
        <v>216</v>
      </c>
      <c r="AI63" s="32" t="s">
        <v>216</v>
      </c>
    </row>
    <row r="64" spans="1:35" ht="11.25">
      <c r="A64" s="100" t="str">
        <f aca="true" t="shared" si="13" ref="A64:A79">CONCATENATE(B64,C64)</f>
        <v>1A15</v>
      </c>
      <c r="B64" s="15" t="s">
        <v>332</v>
      </c>
      <c r="C64" s="15">
        <v>15</v>
      </c>
      <c r="D64" s="37">
        <v>1</v>
      </c>
      <c r="E64" s="15" t="s">
        <v>473</v>
      </c>
      <c r="F64" s="31" t="s">
        <v>216</v>
      </c>
      <c r="G64" s="15" t="str">
        <f>'LDC Account Table'!$B$2</f>
        <v>LDCDUNS##</v>
      </c>
      <c r="H64" s="15" t="str">
        <f>'Supplier Account Table'!$B$2</f>
        <v>SUPDUNS##</v>
      </c>
      <c r="I64" s="179">
        <f t="shared" si="12"/>
        <v>35978</v>
      </c>
      <c r="J64" s="15" t="s">
        <v>181</v>
      </c>
      <c r="K64" s="15" t="s">
        <v>216</v>
      </c>
      <c r="L64" s="39" t="str">
        <f>'Supplier Account Table'!A17</f>
        <v>S0000000000012</v>
      </c>
      <c r="M64" s="15" t="str">
        <f>'Test Customer Information'!A15</f>
        <v>D0000000000012</v>
      </c>
      <c r="N64" s="12" t="str">
        <f t="shared" si="11"/>
        <v>IBM</v>
      </c>
      <c r="O64" s="180" t="s">
        <v>216</v>
      </c>
      <c r="P64" s="15" t="s">
        <v>182</v>
      </c>
      <c r="Q64" s="32" t="s">
        <v>216</v>
      </c>
      <c r="R64" s="15" t="s">
        <v>361</v>
      </c>
      <c r="S64" s="15" t="s">
        <v>362</v>
      </c>
      <c r="T64" s="15" t="s">
        <v>421</v>
      </c>
      <c r="U64" s="32" t="s">
        <v>216</v>
      </c>
      <c r="V64" s="16" t="s">
        <v>216</v>
      </c>
      <c r="W64" s="16" t="s">
        <v>216</v>
      </c>
      <c r="X64" s="16" t="s">
        <v>216</v>
      </c>
      <c r="Y64" s="12" t="str">
        <f>IF(P64="C",VLOOKUP(M64,Customer_File,10,FALSE),"")</f>
        <v>N</v>
      </c>
      <c r="Z64" s="32" t="s">
        <v>216</v>
      </c>
      <c r="AA64" s="32" t="s">
        <v>216</v>
      </c>
      <c r="AB64" s="32" t="s">
        <v>216</v>
      </c>
      <c r="AC64" s="32" t="s">
        <v>216</v>
      </c>
      <c r="AD64" s="32" t="s">
        <v>216</v>
      </c>
      <c r="AE64" s="32" t="s">
        <v>216</v>
      </c>
      <c r="AF64" s="32" t="s">
        <v>216</v>
      </c>
      <c r="AG64" s="32" t="s">
        <v>216</v>
      </c>
      <c r="AH64" s="32" t="s">
        <v>216</v>
      </c>
      <c r="AI64" s="32" t="s">
        <v>216</v>
      </c>
    </row>
    <row r="65" spans="1:35" ht="11.25">
      <c r="A65" s="100" t="str">
        <f t="shared" si="13"/>
        <v>1B17</v>
      </c>
      <c r="B65" s="15" t="s">
        <v>333</v>
      </c>
      <c r="C65" s="15">
        <v>17</v>
      </c>
      <c r="D65" s="37">
        <v>4</v>
      </c>
      <c r="E65" s="15" t="s">
        <v>474</v>
      </c>
      <c r="F65" s="31" t="s">
        <v>216</v>
      </c>
      <c r="G65" s="15" t="str">
        <f>'LDC Account Table'!$B$2</f>
        <v>LDCDUNS##</v>
      </c>
      <c r="H65" s="15" t="str">
        <f>'Supplier Account Table'!$B$2</f>
        <v>SUPDUNS##</v>
      </c>
      <c r="I65" s="179">
        <f t="shared" si="12"/>
        <v>35979</v>
      </c>
      <c r="J65" s="15" t="s">
        <v>181</v>
      </c>
      <c r="K65" s="15" t="s">
        <v>216</v>
      </c>
      <c r="L65" s="39" t="str">
        <f>L64</f>
        <v>S0000000000012</v>
      </c>
      <c r="M65" s="15" t="str">
        <f>M64</f>
        <v>D0000000000012</v>
      </c>
      <c r="N65" s="12" t="str">
        <f t="shared" si="11"/>
        <v>IBM</v>
      </c>
      <c r="O65" s="179">
        <f>VLOOKUP(VLOOKUP(M65,Customer_File,9,FALSE),July,2,FALSE)</f>
        <v>35985</v>
      </c>
      <c r="P65" s="15" t="s">
        <v>182</v>
      </c>
      <c r="Q65" s="32" t="s">
        <v>216</v>
      </c>
      <c r="R65" s="15" t="s">
        <v>361</v>
      </c>
      <c r="S65" s="15" t="str">
        <f>S64</f>
        <v>G000001</v>
      </c>
      <c r="T65" s="15" t="str">
        <f>VLOOKUP(M65,Customer_File,11,FALSE)</f>
        <v>D</v>
      </c>
      <c r="U65" s="15" t="str">
        <f>VLOOKUP(M65,Customer_File,14,FALSE)</f>
        <v>M000000021</v>
      </c>
      <c r="V65" s="17">
        <v>100</v>
      </c>
      <c r="W65" s="16"/>
      <c r="X65" s="17">
        <f>VLOOKUP(M65,Customer_File,9,FALSE)</f>
        <v>6</v>
      </c>
      <c r="Y65" s="12" t="str">
        <f>IF(P65="C",VLOOKUP(M65,Customer_File,10,FALSE),"")</f>
        <v>N</v>
      </c>
      <c r="Z65" s="32" t="s">
        <v>216</v>
      </c>
      <c r="AA65" s="32" t="s">
        <v>216</v>
      </c>
      <c r="AB65" s="32" t="s">
        <v>216</v>
      </c>
      <c r="AC65" s="15" t="str">
        <f>VLOOKUP(M64,Customer_File,5,FALSE)</f>
        <v>109 STREET NAME</v>
      </c>
      <c r="AD65" s="15" t="str">
        <f>VLOOKUP(M64,Customer_File,6,FALSE)</f>
        <v>BLDG 7</v>
      </c>
      <c r="AE65" s="15" t="str">
        <f>LEFT(VLOOKUP(M65,Customer_File,7,FALSE),FIND(" ",VLOOKUP(M65,Customer_File,7,FALSE),1))</f>
        <v>TOWN </v>
      </c>
      <c r="AF65" s="15" t="s">
        <v>424</v>
      </c>
      <c r="AG65" s="15" t="str">
        <f>RIGHT(VLOOKUP(M65,Customer_File,7,FALSE),5)</f>
        <v>99999</v>
      </c>
      <c r="AH65" s="32" t="s">
        <v>216</v>
      </c>
      <c r="AI65" s="32" t="s">
        <v>216</v>
      </c>
    </row>
    <row r="66" spans="1:35" ht="11.25">
      <c r="A66" s="100" t="str">
        <f t="shared" si="13"/>
        <v>1B18</v>
      </c>
      <c r="B66" s="15" t="s">
        <v>333</v>
      </c>
      <c r="C66" s="15">
        <v>18</v>
      </c>
      <c r="D66" s="37">
        <v>4</v>
      </c>
      <c r="E66" s="15" t="s">
        <v>475</v>
      </c>
      <c r="F66" s="31" t="s">
        <v>216</v>
      </c>
      <c r="G66" s="15" t="str">
        <f>'LDC Account Table'!$B$2</f>
        <v>LDCDUNS##</v>
      </c>
      <c r="H66" s="15" t="str">
        <f>'Supplier Account Table'!$B$2</f>
        <v>SUPDUNS##</v>
      </c>
      <c r="I66" s="179">
        <f t="shared" si="12"/>
        <v>35979</v>
      </c>
      <c r="J66" s="15" t="s">
        <v>181</v>
      </c>
      <c r="K66" s="15" t="s">
        <v>216</v>
      </c>
      <c r="L66" s="39" t="str">
        <f>L65</f>
        <v>S0000000000012</v>
      </c>
      <c r="M66" s="15" t="str">
        <f>M65</f>
        <v>D0000000000012</v>
      </c>
      <c r="N66" s="12" t="str">
        <f t="shared" si="11"/>
        <v>IBM</v>
      </c>
      <c r="O66" s="179">
        <f>VLOOKUP(VLOOKUP(M66,Customer_File,9,FALSE),July,2,FALSE)</f>
        <v>35985</v>
      </c>
      <c r="P66" s="15" t="s">
        <v>182</v>
      </c>
      <c r="Q66" s="32" t="s">
        <v>216</v>
      </c>
      <c r="R66" s="15" t="str">
        <f>R64</f>
        <v>G00</v>
      </c>
      <c r="S66" s="15" t="str">
        <f>S64</f>
        <v>G000001</v>
      </c>
      <c r="T66" s="15" t="str">
        <f>VLOOKUP(M66,Customer_File,11,FALSE)</f>
        <v>D</v>
      </c>
      <c r="U66" s="15" t="str">
        <f>VLOOKUP(M66,Customer_File,18,FALSE)</f>
        <v>M000000022</v>
      </c>
      <c r="V66" s="17">
        <v>100</v>
      </c>
      <c r="W66" s="16"/>
      <c r="X66" s="17">
        <f>VLOOKUP(M66,Customer_File,9,FALSE)</f>
        <v>6</v>
      </c>
      <c r="Y66" s="12" t="str">
        <f>IF(P66="C",VLOOKUP(M66,Customer_File,10,FALSE),"")</f>
        <v>N</v>
      </c>
      <c r="Z66" s="32" t="s">
        <v>216</v>
      </c>
      <c r="AA66" s="32" t="s">
        <v>216</v>
      </c>
      <c r="AB66" s="32" t="s">
        <v>216</v>
      </c>
      <c r="AC66" s="15" t="str">
        <f>VLOOKUP(M65,Customer_File,5,FALSE)</f>
        <v>109 STREET NAME</v>
      </c>
      <c r="AD66" s="15" t="str">
        <f>VLOOKUP(M65,Customer_File,6,FALSE)</f>
        <v>BLDG 7</v>
      </c>
      <c r="AE66" s="15" t="str">
        <f>LEFT(VLOOKUP(M66,Customer_File,7,FALSE),FIND(" ",VLOOKUP(M66,Customer_File,7,FALSE),1))</f>
        <v>TOWN </v>
      </c>
      <c r="AF66" s="15" t="s">
        <v>424</v>
      </c>
      <c r="AG66" s="15" t="s">
        <v>216</v>
      </c>
      <c r="AH66" s="32" t="s">
        <v>216</v>
      </c>
      <c r="AI66" s="32" t="s">
        <v>216</v>
      </c>
    </row>
    <row r="67" spans="1:35" ht="11.25">
      <c r="A67" s="100" t="str">
        <f t="shared" si="13"/>
        <v>1A16</v>
      </c>
      <c r="B67" s="15" t="s">
        <v>332</v>
      </c>
      <c r="C67" s="15">
        <v>16</v>
      </c>
      <c r="D67" s="37">
        <v>1</v>
      </c>
      <c r="E67" s="15" t="s">
        <v>476</v>
      </c>
      <c r="F67" s="31" t="s">
        <v>216</v>
      </c>
      <c r="G67" s="15" t="str">
        <f>'LDC Account Table'!$B$2</f>
        <v>LDCDUNS##</v>
      </c>
      <c r="H67" s="15" t="str">
        <f>'Supplier Account Table'!$B$2</f>
        <v>SUPDUNS##</v>
      </c>
      <c r="I67" s="179">
        <f t="shared" si="12"/>
        <v>35978</v>
      </c>
      <c r="J67" s="15" t="s">
        <v>181</v>
      </c>
      <c r="K67" s="15" t="s">
        <v>216</v>
      </c>
      <c r="L67" s="39" t="str">
        <f>'Supplier Account Table'!A18</f>
        <v>S0000000000013</v>
      </c>
      <c r="M67" s="15" t="str">
        <f>'Test Customer Information'!A16</f>
        <v>D0000000000013</v>
      </c>
      <c r="N67" s="12" t="str">
        <f t="shared" si="11"/>
        <v>EL N</v>
      </c>
      <c r="O67" s="180">
        <f aca="true" t="shared" si="14" ref="O67:O82">IF(D67=4,VLOOKUP(VLOOKUP(M67,Customer_File,3,FALSE),July,2,FALSE),"")</f>
      </c>
      <c r="P67" s="15" t="s">
        <v>426</v>
      </c>
      <c r="Q67" s="32" t="s">
        <v>216</v>
      </c>
      <c r="R67" s="32" t="s">
        <v>216</v>
      </c>
      <c r="S67" s="32" t="s">
        <v>216</v>
      </c>
      <c r="T67" s="15" t="s">
        <v>421</v>
      </c>
      <c r="U67" s="32">
        <f>IF(D67=4,VLOOKUP(M64,Customer_File,7,FALSE),"")</f>
      </c>
      <c r="V67" s="16" t="s">
        <v>216</v>
      </c>
      <c r="W67" s="16" t="s">
        <v>216</v>
      </c>
      <c r="X67" s="16">
        <f>IF(AND(D67=4,P67="C"),VLOOKUP(M67,Customer_File,3,FALSE),"")</f>
      </c>
      <c r="Y67" s="32">
        <f>IF(P67="C",VLOOKUP(M67,Customer_File,5,FALSE),"")</f>
      </c>
      <c r="Z67" s="32" t="s">
        <v>216</v>
      </c>
      <c r="AA67" s="32" t="s">
        <v>216</v>
      </c>
      <c r="AB67" s="32" t="s">
        <v>216</v>
      </c>
      <c r="AC67" s="32" t="s">
        <v>216</v>
      </c>
      <c r="AD67" s="32" t="s">
        <v>216</v>
      </c>
      <c r="AE67" s="32" t="s">
        <v>216</v>
      </c>
      <c r="AF67" s="32" t="s">
        <v>216</v>
      </c>
      <c r="AG67" s="32" t="s">
        <v>216</v>
      </c>
      <c r="AH67" s="32" t="s">
        <v>216</v>
      </c>
      <c r="AI67" s="32" t="s">
        <v>216</v>
      </c>
    </row>
    <row r="68" spans="1:35" ht="11.25">
      <c r="A68" s="100" t="str">
        <f t="shared" si="13"/>
        <v>1B19</v>
      </c>
      <c r="B68" s="15" t="s">
        <v>333</v>
      </c>
      <c r="C68" s="15">
        <v>19</v>
      </c>
      <c r="D68" s="37">
        <v>4</v>
      </c>
      <c r="E68" s="15" t="s">
        <v>477</v>
      </c>
      <c r="F68" s="31" t="s">
        <v>216</v>
      </c>
      <c r="G68" s="15" t="str">
        <f>'LDC Account Table'!$B$2</f>
        <v>LDCDUNS##</v>
      </c>
      <c r="H68" s="15" t="str">
        <f>'Supplier Account Table'!$B$2</f>
        <v>SUPDUNS##</v>
      </c>
      <c r="I68" s="179">
        <f t="shared" si="12"/>
        <v>35979</v>
      </c>
      <c r="J68" s="15" t="s">
        <v>181</v>
      </c>
      <c r="K68" s="15" t="s">
        <v>216</v>
      </c>
      <c r="L68" s="39" t="str">
        <f>L67</f>
        <v>S0000000000013</v>
      </c>
      <c r="M68" s="15" t="str">
        <f>M67</f>
        <v>D0000000000013</v>
      </c>
      <c r="N68" s="12" t="str">
        <f t="shared" si="11"/>
        <v>EL N</v>
      </c>
      <c r="O68" s="181">
        <f>VLOOKUP(VLOOKUP(M68,Customer_File,9,FALSE),July,2,FALSE)</f>
        <v>35985</v>
      </c>
      <c r="P68" s="15" t="s">
        <v>426</v>
      </c>
      <c r="Q68" s="32" t="s">
        <v>216</v>
      </c>
      <c r="R68" s="32" t="s">
        <v>216</v>
      </c>
      <c r="S68" s="32" t="s">
        <v>216</v>
      </c>
      <c r="T68" s="15" t="str">
        <f>VLOOKUP(M68,Customer_File,11,FALSE)</f>
        <v>E</v>
      </c>
      <c r="U68" s="15" t="str">
        <f>VLOOKUP(M68,Customer_File,14,FALSE)</f>
        <v>M000000023</v>
      </c>
      <c r="V68" s="17">
        <v>100</v>
      </c>
      <c r="W68" s="16"/>
      <c r="X68" s="17">
        <f>VLOOKUP(M68,Customer_File,9,FALSE)</f>
        <v>6</v>
      </c>
      <c r="Y68" s="32">
        <f>IF(P68="C",VLOOKUP(M68,Customer_File,5,FALSE),"")</f>
      </c>
      <c r="Z68" s="32" t="s">
        <v>216</v>
      </c>
      <c r="AA68" s="32" t="s">
        <v>216</v>
      </c>
      <c r="AB68" s="32" t="s">
        <v>216</v>
      </c>
      <c r="AC68" s="15" t="str">
        <f>VLOOKUP(M67,Customer_File,5,FALSE)</f>
        <v>110 STREET NAME</v>
      </c>
      <c r="AD68" s="15" t="str">
        <f>VLOOKUP(M67,Customer_File,6,FALSE)</f>
        <v> </v>
      </c>
      <c r="AE68" s="15" t="str">
        <f>LEFT(VLOOKUP(M68,Customer_File,7,FALSE),FIND(" ",VLOOKUP(M68,Customer_File,7,FALSE),1))</f>
        <v>TOWN </v>
      </c>
      <c r="AF68" s="15" t="s">
        <v>424</v>
      </c>
      <c r="AG68" s="15" t="str">
        <f>RIGHT(VLOOKUP(M68,Customer_File,7,FALSE),5)</f>
        <v>99999</v>
      </c>
      <c r="AH68" s="32" t="s">
        <v>216</v>
      </c>
      <c r="AI68" s="32" t="s">
        <v>216</v>
      </c>
    </row>
    <row r="69" spans="1:35" ht="11.25">
      <c r="A69" s="100" t="str">
        <f t="shared" si="13"/>
        <v>1A17</v>
      </c>
      <c r="B69" s="15" t="s">
        <v>332</v>
      </c>
      <c r="C69" s="15">
        <v>17</v>
      </c>
      <c r="D69" s="37">
        <v>1</v>
      </c>
      <c r="E69" s="15" t="s">
        <v>478</v>
      </c>
      <c r="F69" s="31" t="s">
        <v>216</v>
      </c>
      <c r="G69" s="15" t="str">
        <f>'LDC Account Table'!$B$2</f>
        <v>LDCDUNS##</v>
      </c>
      <c r="H69" s="15" t="str">
        <f>'Supplier Account Table'!$B$2</f>
        <v>SUPDUNS##</v>
      </c>
      <c r="I69" s="179">
        <f t="shared" si="12"/>
        <v>35978</v>
      </c>
      <c r="J69" s="15" t="s">
        <v>181</v>
      </c>
      <c r="K69" s="15" t="s">
        <v>216</v>
      </c>
      <c r="L69" s="39" t="str">
        <f>'Supplier Account Table'!A19</f>
        <v>S0000000000014</v>
      </c>
      <c r="M69" s="15" t="str">
        <f>'Test Customer Information'!A17</f>
        <v>D0000000000014</v>
      </c>
      <c r="N69" s="12" t="str">
        <f t="shared" si="11"/>
        <v>WINS</v>
      </c>
      <c r="O69" s="180">
        <f t="shared" si="14"/>
      </c>
      <c r="P69" s="15" t="s">
        <v>182</v>
      </c>
      <c r="Q69" s="32" t="s">
        <v>216</v>
      </c>
      <c r="R69" s="15" t="s">
        <v>363</v>
      </c>
      <c r="S69" s="15" t="s">
        <v>364</v>
      </c>
      <c r="T69" s="15" t="s">
        <v>421</v>
      </c>
      <c r="U69" s="32">
        <f>IF(D69=4,VLOOKUP(M67,Customer_File,7,FALSE),"")</f>
      </c>
      <c r="V69" s="16" t="s">
        <v>216</v>
      </c>
      <c r="W69" s="16" t="s">
        <v>216</v>
      </c>
      <c r="X69" s="16">
        <f>IF(AND(D69=4,P69="C"),VLOOKUP(M69,Customer_File,3,FALSE),"")</f>
      </c>
      <c r="Y69" s="12" t="str">
        <f>IF(P69="C",VLOOKUP(M69,Customer_File,10,FALSE),"")</f>
        <v>N</v>
      </c>
      <c r="Z69" s="32" t="s">
        <v>216</v>
      </c>
      <c r="AA69" s="32" t="s">
        <v>216</v>
      </c>
      <c r="AB69" s="32" t="s">
        <v>216</v>
      </c>
      <c r="AC69" s="32" t="s">
        <v>216</v>
      </c>
      <c r="AD69" s="32" t="s">
        <v>216</v>
      </c>
      <c r="AE69" s="32" t="s">
        <v>216</v>
      </c>
      <c r="AF69" s="32" t="s">
        <v>216</v>
      </c>
      <c r="AG69" s="32" t="s">
        <v>216</v>
      </c>
      <c r="AH69" s="32" t="s">
        <v>216</v>
      </c>
      <c r="AI69" s="32" t="s">
        <v>216</v>
      </c>
    </row>
    <row r="70" spans="1:35" ht="11.25">
      <c r="A70" s="100" t="str">
        <f t="shared" si="13"/>
        <v>1B20</v>
      </c>
      <c r="B70" s="15" t="s">
        <v>333</v>
      </c>
      <c r="C70" s="15">
        <v>20</v>
      </c>
      <c r="D70" s="37">
        <v>4</v>
      </c>
      <c r="E70" s="15" t="s">
        <v>479</v>
      </c>
      <c r="F70" s="31" t="s">
        <v>216</v>
      </c>
      <c r="G70" s="15" t="str">
        <f>'LDC Account Table'!$B$2</f>
        <v>LDCDUNS##</v>
      </c>
      <c r="H70" s="15" t="str">
        <f>'Supplier Account Table'!$B$2</f>
        <v>SUPDUNS##</v>
      </c>
      <c r="I70" s="179">
        <f t="shared" si="12"/>
        <v>35979</v>
      </c>
      <c r="J70" s="15" t="s">
        <v>181</v>
      </c>
      <c r="K70" s="15" t="s">
        <v>216</v>
      </c>
      <c r="L70" s="39" t="str">
        <f>L69</f>
        <v>S0000000000014</v>
      </c>
      <c r="M70" s="15" t="str">
        <f>M69</f>
        <v>D0000000000014</v>
      </c>
      <c r="N70" s="12" t="str">
        <f t="shared" si="11"/>
        <v>WINS</v>
      </c>
      <c r="O70" s="181">
        <f>VLOOKUP(VLOOKUP(M70,Customer_File,9,FALSE),July,2,FALSE)</f>
        <v>35985</v>
      </c>
      <c r="P70" s="15" t="s">
        <v>182</v>
      </c>
      <c r="Q70" s="32" t="s">
        <v>216</v>
      </c>
      <c r="R70" s="15" t="str">
        <f>R69</f>
        <v>R01</v>
      </c>
      <c r="S70" s="15" t="str">
        <f>S69</f>
        <v>R000001</v>
      </c>
      <c r="T70" s="15" t="str">
        <f>VLOOKUP(M70,Customer_File,11,FALSE)</f>
        <v>E</v>
      </c>
      <c r="U70" s="15" t="str">
        <f>VLOOKUP(M70,Customer_File,14,FALSE)</f>
        <v>M000000025</v>
      </c>
      <c r="V70" s="17">
        <v>100</v>
      </c>
      <c r="W70" s="16"/>
      <c r="X70" s="17">
        <f>VLOOKUP(M70,Customer_File,9,FALSE)</f>
        <v>6</v>
      </c>
      <c r="Y70" s="12" t="str">
        <f>IF(P70="C",VLOOKUP(M70,Customer_File,10,FALSE),"")</f>
        <v>N</v>
      </c>
      <c r="Z70" s="32" t="s">
        <v>216</v>
      </c>
      <c r="AA70" s="32" t="s">
        <v>216</v>
      </c>
      <c r="AB70" s="32" t="s">
        <v>216</v>
      </c>
      <c r="AC70" s="15" t="str">
        <f>VLOOKUP(M69,Customer_File,5,FALSE)</f>
        <v>111 STREET NAME</v>
      </c>
      <c r="AD70" s="15" t="str">
        <f>VLOOKUP(M69,Customer_File,6,FALSE)</f>
        <v> </v>
      </c>
      <c r="AE70" s="15" t="str">
        <f>LEFT(VLOOKUP(M70,Customer_File,7,FALSE),FIND(" ",VLOOKUP(M70,Customer_File,7,FALSE),1))</f>
        <v>TOWN </v>
      </c>
      <c r="AF70" s="15" t="s">
        <v>424</v>
      </c>
      <c r="AG70" s="15" t="str">
        <f>RIGHT(VLOOKUP(M70,Customer_File,7,FALSE),5)</f>
        <v>99999</v>
      </c>
      <c r="AH70" s="32" t="s">
        <v>216</v>
      </c>
      <c r="AI70" s="32" t="s">
        <v>216</v>
      </c>
    </row>
    <row r="71" spans="1:35" ht="11.25">
      <c r="A71" s="100" t="str">
        <f t="shared" si="13"/>
        <v>1A18</v>
      </c>
      <c r="B71" s="15" t="s">
        <v>332</v>
      </c>
      <c r="C71" s="15">
        <v>18</v>
      </c>
      <c r="D71" s="37">
        <v>1</v>
      </c>
      <c r="E71" s="15" t="s">
        <v>480</v>
      </c>
      <c r="F71" s="31" t="s">
        <v>216</v>
      </c>
      <c r="G71" s="15" t="str">
        <f>'LDC Account Table'!$B$2</f>
        <v>LDCDUNS##</v>
      </c>
      <c r="H71" s="15" t="str">
        <f>'Supplier Account Table'!$B$2</f>
        <v>SUPDUNS##</v>
      </c>
      <c r="I71" s="179">
        <f t="shared" si="12"/>
        <v>35978</v>
      </c>
      <c r="J71" s="15" t="s">
        <v>181</v>
      </c>
      <c r="K71" s="15" t="s">
        <v>216</v>
      </c>
      <c r="L71" s="39" t="str">
        <f>'Supplier Account Table'!A20</f>
        <v>S0000000000015</v>
      </c>
      <c r="M71" s="15" t="str">
        <f>'Test Customer Information'!A18</f>
        <v>D0000000000015</v>
      </c>
      <c r="N71" s="12" t="str">
        <f t="shared" si="11"/>
        <v>ELLI</v>
      </c>
      <c r="O71" s="180">
        <f t="shared" si="14"/>
      </c>
      <c r="P71" s="15" t="s">
        <v>182</v>
      </c>
      <c r="Q71" s="32" t="s">
        <v>216</v>
      </c>
      <c r="R71" s="15" t="s">
        <v>363</v>
      </c>
      <c r="S71" s="15" t="s">
        <v>364</v>
      </c>
      <c r="T71" s="15" t="s">
        <v>421</v>
      </c>
      <c r="U71" s="32" t="s">
        <v>216</v>
      </c>
      <c r="V71" s="16" t="s">
        <v>216</v>
      </c>
      <c r="W71" s="16" t="s">
        <v>216</v>
      </c>
      <c r="X71" s="16" t="s">
        <v>216</v>
      </c>
      <c r="Y71" s="12" t="str">
        <f>IF(P71="C",VLOOKUP(M71,Customer_File,10,FALSE),"")</f>
        <v>N</v>
      </c>
      <c r="Z71" s="32" t="s">
        <v>216</v>
      </c>
      <c r="AA71" s="32" t="s">
        <v>216</v>
      </c>
      <c r="AB71" s="32" t="s">
        <v>216</v>
      </c>
      <c r="AC71" s="32" t="s">
        <v>216</v>
      </c>
      <c r="AD71" s="32" t="s">
        <v>216</v>
      </c>
      <c r="AE71" s="32" t="s">
        <v>216</v>
      </c>
      <c r="AF71" s="32" t="s">
        <v>216</v>
      </c>
      <c r="AG71" s="32" t="s">
        <v>216</v>
      </c>
      <c r="AH71" s="32" t="s">
        <v>216</v>
      </c>
      <c r="AI71" s="32" t="s">
        <v>216</v>
      </c>
    </row>
    <row r="72" spans="1:35" ht="11.25">
      <c r="A72" s="100" t="str">
        <f t="shared" si="13"/>
        <v>1B21</v>
      </c>
      <c r="B72" s="15" t="s">
        <v>333</v>
      </c>
      <c r="C72" s="15">
        <v>21</v>
      </c>
      <c r="D72" s="37">
        <v>4</v>
      </c>
      <c r="E72" s="15" t="s">
        <v>481</v>
      </c>
      <c r="F72" s="31" t="s">
        <v>216</v>
      </c>
      <c r="G72" s="15" t="str">
        <f>'LDC Account Table'!$B$2</f>
        <v>LDCDUNS##</v>
      </c>
      <c r="H72" s="15" t="str">
        <f>'Supplier Account Table'!$B$2</f>
        <v>SUPDUNS##</v>
      </c>
      <c r="I72" s="179">
        <f t="shared" si="12"/>
        <v>35979</v>
      </c>
      <c r="J72" s="15" t="s">
        <v>181</v>
      </c>
      <c r="K72" s="15" t="s">
        <v>216</v>
      </c>
      <c r="L72" s="39" t="str">
        <f>L71</f>
        <v>S0000000000015</v>
      </c>
      <c r="M72" s="15" t="str">
        <f>M71</f>
        <v>D0000000000015</v>
      </c>
      <c r="N72" s="12" t="str">
        <f t="shared" si="11"/>
        <v>ELLI</v>
      </c>
      <c r="O72" s="181">
        <f>VLOOKUP(VLOOKUP(M72,Customer_File,9,FALSE),July,2,FALSE)</f>
        <v>35985</v>
      </c>
      <c r="P72" s="15" t="s">
        <v>182</v>
      </c>
      <c r="Q72" s="32" t="s">
        <v>216</v>
      </c>
      <c r="R72" s="15" t="str">
        <f>R71</f>
        <v>R01</v>
      </c>
      <c r="S72" s="15" t="str">
        <f>S71</f>
        <v>R000001</v>
      </c>
      <c r="T72" s="15" t="str">
        <f>VLOOKUP(M72,Customer_File,11,FALSE)</f>
        <v>E</v>
      </c>
      <c r="U72" s="15" t="str">
        <f>VLOOKUP(M72,Customer_File,14,FALSE)</f>
        <v>M000000027</v>
      </c>
      <c r="V72" s="17">
        <v>100</v>
      </c>
      <c r="W72" s="16"/>
      <c r="X72" s="17">
        <f>VLOOKUP(M72,Customer_File,9,FALSE)</f>
        <v>6</v>
      </c>
      <c r="Y72" s="12" t="str">
        <f>IF(P72="C",VLOOKUP(M72,Customer_File,10,FALSE),"")</f>
        <v>N</v>
      </c>
      <c r="Z72" s="32" t="s">
        <v>216</v>
      </c>
      <c r="AA72" s="32" t="s">
        <v>216</v>
      </c>
      <c r="AB72" s="32" t="s">
        <v>216</v>
      </c>
      <c r="AC72" s="15" t="str">
        <f>VLOOKUP(M71,Customer_File,5,FALSE)</f>
        <v>112 STREET NAME</v>
      </c>
      <c r="AD72" s="15" t="str">
        <f>VLOOKUP(M71,Customer_File,6,FALSE)</f>
        <v> </v>
      </c>
      <c r="AE72" s="15" t="str">
        <f>LEFT(VLOOKUP(M72,Customer_File,7,FALSE),FIND(" ",VLOOKUP(M72,Customer_File,7,FALSE),1))</f>
        <v>TOWN </v>
      </c>
      <c r="AF72" s="15" t="s">
        <v>424</v>
      </c>
      <c r="AG72" s="15" t="str">
        <f>RIGHT(VLOOKUP(M72,Customer_File,7,FALSE),5)</f>
        <v>99999</v>
      </c>
      <c r="AH72" s="32" t="s">
        <v>216</v>
      </c>
      <c r="AI72" s="32" t="s">
        <v>216</v>
      </c>
    </row>
    <row r="73" spans="1:35" ht="11.25">
      <c r="A73" s="100" t="str">
        <f t="shared" si="13"/>
        <v>1A19</v>
      </c>
      <c r="B73" s="15" t="s">
        <v>332</v>
      </c>
      <c r="C73" s="15">
        <v>19</v>
      </c>
      <c r="D73" s="37">
        <v>1</v>
      </c>
      <c r="E73" s="15" t="s">
        <v>482</v>
      </c>
      <c r="F73" s="31" t="s">
        <v>216</v>
      </c>
      <c r="G73" s="15" t="str">
        <f>'LDC Account Table'!$B$2</f>
        <v>LDCDUNS##</v>
      </c>
      <c r="H73" s="15" t="str">
        <f>'Supplier Account Table'!$B$2</f>
        <v>SUPDUNS##</v>
      </c>
      <c r="I73" s="179">
        <f t="shared" si="12"/>
        <v>35978</v>
      </c>
      <c r="J73" s="15" t="s">
        <v>181</v>
      </c>
      <c r="K73" s="15" t="s">
        <v>216</v>
      </c>
      <c r="L73" s="39" t="str">
        <f>'Supplier Account Table'!A21</f>
        <v>S0000000000016</v>
      </c>
      <c r="M73" s="15" t="str">
        <f>'Test Customer Information'!A19</f>
        <v>D0000000000016</v>
      </c>
      <c r="N73" s="12" t="str">
        <f t="shared" si="11"/>
        <v>DONA</v>
      </c>
      <c r="O73" s="180">
        <f t="shared" si="14"/>
      </c>
      <c r="P73" s="15" t="s">
        <v>426</v>
      </c>
      <c r="Q73" s="32" t="s">
        <v>216</v>
      </c>
      <c r="R73" s="32" t="s">
        <v>216</v>
      </c>
      <c r="S73" s="32" t="s">
        <v>216</v>
      </c>
      <c r="T73" s="15" t="s">
        <v>421</v>
      </c>
      <c r="U73" s="32" t="s">
        <v>216</v>
      </c>
      <c r="V73" s="16" t="s">
        <v>216</v>
      </c>
      <c r="W73" s="16" t="s">
        <v>216</v>
      </c>
      <c r="X73" s="16" t="s">
        <v>216</v>
      </c>
      <c r="Y73" s="32">
        <f>IF(P73="C",VLOOKUP(M73,Customer_File,5,FALSE),"")</f>
      </c>
      <c r="Z73" s="32" t="s">
        <v>216</v>
      </c>
      <c r="AA73" s="32" t="s">
        <v>216</v>
      </c>
      <c r="AB73" s="32" t="s">
        <v>216</v>
      </c>
      <c r="AC73" s="32" t="s">
        <v>216</v>
      </c>
      <c r="AD73" s="32" t="s">
        <v>216</v>
      </c>
      <c r="AE73" s="32" t="s">
        <v>216</v>
      </c>
      <c r="AF73" s="32" t="s">
        <v>216</v>
      </c>
      <c r="AG73" s="32" t="s">
        <v>216</v>
      </c>
      <c r="AH73" s="32" t="s">
        <v>216</v>
      </c>
      <c r="AI73" s="32" t="s">
        <v>216</v>
      </c>
    </row>
    <row r="74" spans="1:35" ht="11.25">
      <c r="A74" s="100" t="str">
        <f t="shared" si="13"/>
        <v>1B22</v>
      </c>
      <c r="B74" s="15" t="s">
        <v>333</v>
      </c>
      <c r="C74" s="15">
        <v>22</v>
      </c>
      <c r="D74" s="37">
        <v>4</v>
      </c>
      <c r="E74" s="15" t="s">
        <v>483</v>
      </c>
      <c r="F74" s="31" t="s">
        <v>216</v>
      </c>
      <c r="G74" s="15" t="str">
        <f>'LDC Account Table'!$B$2</f>
        <v>LDCDUNS##</v>
      </c>
      <c r="H74" s="15" t="str">
        <f>'Supplier Account Table'!$B$2</f>
        <v>SUPDUNS##</v>
      </c>
      <c r="I74" s="179">
        <f aca="true" t="shared" si="15" ref="I74:I84">VLOOKUP(B74,File_Dates,2,FALSE)</f>
        <v>35979</v>
      </c>
      <c r="J74" s="15" t="s">
        <v>181</v>
      </c>
      <c r="K74" s="15" t="s">
        <v>216</v>
      </c>
      <c r="L74" s="39" t="str">
        <f>L73</f>
        <v>S0000000000016</v>
      </c>
      <c r="M74" s="15" t="str">
        <f>M73</f>
        <v>D0000000000016</v>
      </c>
      <c r="N74" s="12" t="str">
        <f t="shared" si="11"/>
        <v>DONA</v>
      </c>
      <c r="O74" s="181">
        <f>VLOOKUP(VLOOKUP(M74,Customer_File,9,FALSE),July,2,FALSE)</f>
        <v>35985</v>
      </c>
      <c r="P74" s="15" t="s">
        <v>426</v>
      </c>
      <c r="Q74" s="32" t="s">
        <v>216</v>
      </c>
      <c r="R74" s="32" t="s">
        <v>216</v>
      </c>
      <c r="S74" s="32" t="s">
        <v>216</v>
      </c>
      <c r="T74" s="15" t="str">
        <f>VLOOKUP(M74,Customer_File,11,FALSE)</f>
        <v>T</v>
      </c>
      <c r="U74" s="15" t="str">
        <f>VLOOKUP(M74,Customer_File,14,FALSE)</f>
        <v>M000000029</v>
      </c>
      <c r="V74" s="17">
        <v>100</v>
      </c>
      <c r="W74" s="16"/>
      <c r="X74" s="17">
        <f>VLOOKUP(M74,Customer_File,9,FALSE)</f>
        <v>6</v>
      </c>
      <c r="Y74" s="32">
        <f>IF(P74="C",VLOOKUP(M74,Customer_File,5,FALSE),"")</f>
      </c>
      <c r="Z74" s="32" t="s">
        <v>216</v>
      </c>
      <c r="AA74" s="32" t="s">
        <v>216</v>
      </c>
      <c r="AB74" s="32" t="s">
        <v>216</v>
      </c>
      <c r="AC74" s="15" t="str">
        <f>VLOOKUP(M73,Customer_File,5,FALSE)</f>
        <v>113 STREET NAME</v>
      </c>
      <c r="AD74" s="15" t="str">
        <f>VLOOKUP(M73,Customer_File,6,FALSE)</f>
        <v> </v>
      </c>
      <c r="AE74" s="15" t="str">
        <f>LEFT(VLOOKUP(M74,Customer_File,7,FALSE),FIND(" ",VLOOKUP(M74,Customer_File,7,FALSE),1))</f>
        <v>TOWN </v>
      </c>
      <c r="AF74" s="15" t="s">
        <v>424</v>
      </c>
      <c r="AG74" s="15" t="str">
        <f>RIGHT(VLOOKUP(M74,Customer_File,7,FALSE),5)</f>
        <v>99999</v>
      </c>
      <c r="AH74" s="32" t="s">
        <v>216</v>
      </c>
      <c r="AI74" s="32" t="s">
        <v>216</v>
      </c>
    </row>
    <row r="75" spans="1:35" ht="11.25">
      <c r="A75" s="100" t="str">
        <f t="shared" si="13"/>
        <v>1A20</v>
      </c>
      <c r="B75" s="15" t="s">
        <v>332</v>
      </c>
      <c r="C75" s="15">
        <v>20</v>
      </c>
      <c r="D75" s="37">
        <v>1</v>
      </c>
      <c r="E75" s="15" t="s">
        <v>484</v>
      </c>
      <c r="F75" s="31" t="s">
        <v>216</v>
      </c>
      <c r="G75" s="15" t="str">
        <f>'LDC Account Table'!$B$2</f>
        <v>LDCDUNS##</v>
      </c>
      <c r="H75" s="15" t="str">
        <f>'Supplier Account Table'!$B$2</f>
        <v>SUPDUNS##</v>
      </c>
      <c r="I75" s="179">
        <f t="shared" si="15"/>
        <v>35978</v>
      </c>
      <c r="J75" s="15" t="s">
        <v>181</v>
      </c>
      <c r="K75" s="15" t="s">
        <v>216</v>
      </c>
      <c r="L75" s="39" t="str">
        <f>'Supplier Account Table'!A22</f>
        <v>S0000000000017</v>
      </c>
      <c r="M75" s="15" t="str">
        <f>'Test Customer Information'!A20</f>
        <v>D0000000000017</v>
      </c>
      <c r="N75" s="12" t="str">
        <f t="shared" si="11"/>
        <v>WIGG</v>
      </c>
      <c r="O75" s="180">
        <f t="shared" si="14"/>
      </c>
      <c r="P75" s="15" t="s">
        <v>426</v>
      </c>
      <c r="Q75" s="32" t="s">
        <v>216</v>
      </c>
      <c r="R75" s="32" t="s">
        <v>216</v>
      </c>
      <c r="S75" s="32" t="s">
        <v>216</v>
      </c>
      <c r="T75" s="15" t="s">
        <v>421</v>
      </c>
      <c r="U75" s="32" t="s">
        <v>216</v>
      </c>
      <c r="V75" s="16" t="s">
        <v>216</v>
      </c>
      <c r="W75" s="16" t="s">
        <v>216</v>
      </c>
      <c r="X75" s="16" t="s">
        <v>216</v>
      </c>
      <c r="Y75" s="32">
        <f>IF(P75="C",VLOOKUP(M75,Customer_File,5,FALSE),"")</f>
      </c>
      <c r="Z75" s="32" t="s">
        <v>216</v>
      </c>
      <c r="AA75" s="32" t="s">
        <v>216</v>
      </c>
      <c r="AB75" s="32" t="s">
        <v>216</v>
      </c>
      <c r="AC75" s="32" t="s">
        <v>216</v>
      </c>
      <c r="AD75" s="32" t="s">
        <v>216</v>
      </c>
      <c r="AE75" s="32" t="s">
        <v>216</v>
      </c>
      <c r="AF75" s="32" t="s">
        <v>216</v>
      </c>
      <c r="AG75" s="32" t="s">
        <v>216</v>
      </c>
      <c r="AH75" s="32" t="s">
        <v>216</v>
      </c>
      <c r="AI75" s="32" t="s">
        <v>216</v>
      </c>
    </row>
    <row r="76" spans="1:35" ht="11.25">
      <c r="A76" s="100" t="str">
        <f t="shared" si="13"/>
        <v>1B23</v>
      </c>
      <c r="B76" s="15" t="s">
        <v>333</v>
      </c>
      <c r="C76" s="15">
        <v>23</v>
      </c>
      <c r="D76" s="37">
        <v>4</v>
      </c>
      <c r="E76" s="15" t="s">
        <v>485</v>
      </c>
      <c r="F76" s="31" t="s">
        <v>216</v>
      </c>
      <c r="G76" s="15" t="str">
        <f>'LDC Account Table'!$B$2</f>
        <v>LDCDUNS##</v>
      </c>
      <c r="H76" s="15" t="str">
        <f>'Supplier Account Table'!$B$2</f>
        <v>SUPDUNS##</v>
      </c>
      <c r="I76" s="179">
        <f t="shared" si="15"/>
        <v>35979</v>
      </c>
      <c r="J76" s="15" t="s">
        <v>181</v>
      </c>
      <c r="K76" s="15" t="s">
        <v>216</v>
      </c>
      <c r="L76" s="39" t="str">
        <f>L75</f>
        <v>S0000000000017</v>
      </c>
      <c r="M76" s="15" t="str">
        <f>M75</f>
        <v>D0000000000017</v>
      </c>
      <c r="N76" s="12" t="str">
        <f t="shared" si="11"/>
        <v>WIGG</v>
      </c>
      <c r="O76" s="179">
        <f>VLOOKUP(VLOOKUP(M76,Customer_File,9,FALSE),July,2,FALSE)</f>
        <v>35985</v>
      </c>
      <c r="P76" s="15" t="s">
        <v>426</v>
      </c>
      <c r="Q76" s="32" t="s">
        <v>216</v>
      </c>
      <c r="R76" s="32" t="s">
        <v>216</v>
      </c>
      <c r="S76" s="32" t="s">
        <v>216</v>
      </c>
      <c r="T76" s="15" t="str">
        <f>VLOOKUP(M76,Customer_File,11,FALSE)</f>
        <v>T</v>
      </c>
      <c r="U76" s="15" t="str">
        <f>VLOOKUP(M76,Customer_File,14,FALSE)</f>
        <v>M000000031</v>
      </c>
      <c r="V76" s="17">
        <v>100</v>
      </c>
      <c r="W76" s="16"/>
      <c r="X76" s="17">
        <f>VLOOKUP(M76,Customer_File,9,FALSE)</f>
        <v>6</v>
      </c>
      <c r="Y76" s="32">
        <f>IF(P76="C",VLOOKUP(M76,Customer_File,5,FALSE),"")</f>
      </c>
      <c r="Z76" s="32" t="s">
        <v>216</v>
      </c>
      <c r="AA76" s="32" t="s">
        <v>216</v>
      </c>
      <c r="AB76" s="32" t="s">
        <v>216</v>
      </c>
      <c r="AC76" s="15" t="str">
        <f>VLOOKUP(M75,Customer_File,5,FALSE)</f>
        <v>114 STREET NAME</v>
      </c>
      <c r="AD76" s="15" t="str">
        <f>VLOOKUP(M75,Customer_File,6,FALSE)</f>
        <v> </v>
      </c>
      <c r="AE76" s="15" t="str">
        <f>LEFT(VLOOKUP(M76,Customer_File,7,FALSE),FIND(" ",VLOOKUP(M76,Customer_File,7,FALSE),1))</f>
        <v>TOWN </v>
      </c>
      <c r="AF76" s="15" t="s">
        <v>424</v>
      </c>
      <c r="AG76" s="15" t="str">
        <f>RIGHT(VLOOKUP(M76,Customer_File,7,FALSE),5)</f>
        <v>99999</v>
      </c>
      <c r="AH76" s="32" t="s">
        <v>216</v>
      </c>
      <c r="AI76" s="32" t="s">
        <v>216</v>
      </c>
    </row>
    <row r="77" spans="1:35" ht="11.25">
      <c r="A77" s="100" t="str">
        <f t="shared" si="13"/>
        <v>1B24</v>
      </c>
      <c r="B77" s="15" t="s">
        <v>333</v>
      </c>
      <c r="C77" s="15">
        <v>24</v>
      </c>
      <c r="D77" s="37">
        <v>4</v>
      </c>
      <c r="E77" s="15" t="s">
        <v>486</v>
      </c>
      <c r="F77" s="31" t="s">
        <v>216</v>
      </c>
      <c r="G77" s="15" t="str">
        <f>'LDC Account Table'!$B$2</f>
        <v>LDCDUNS##</v>
      </c>
      <c r="H77" s="15" t="str">
        <f>'Supplier Account Table'!$B$2</f>
        <v>SUPDUNS##</v>
      </c>
      <c r="I77" s="179">
        <f t="shared" si="15"/>
        <v>35979</v>
      </c>
      <c r="J77" s="15" t="s">
        <v>181</v>
      </c>
      <c r="K77" s="15" t="s">
        <v>216</v>
      </c>
      <c r="L77" s="39" t="str">
        <f>L76</f>
        <v>S0000000000017</v>
      </c>
      <c r="M77" s="15" t="str">
        <f>M76</f>
        <v>D0000000000017</v>
      </c>
      <c r="N77" s="12" t="str">
        <f t="shared" si="11"/>
        <v>WIGG</v>
      </c>
      <c r="O77" s="179">
        <f>VLOOKUP(VLOOKUP(M77,Customer_File,9,FALSE),July,2,FALSE)</f>
        <v>35985</v>
      </c>
      <c r="P77" s="15" t="s">
        <v>426</v>
      </c>
      <c r="Q77" s="32" t="s">
        <v>216</v>
      </c>
      <c r="R77" s="32" t="s">
        <v>216</v>
      </c>
      <c r="S77" s="32" t="s">
        <v>216</v>
      </c>
      <c r="T77" s="15" t="str">
        <f>VLOOKUP(M77,Customer_File,11,FALSE)</f>
        <v>T</v>
      </c>
      <c r="U77" s="15" t="str">
        <f>VLOOKUP(M77,Customer_File,18,FALSE)</f>
        <v>M000000032</v>
      </c>
      <c r="V77" s="17">
        <v>100</v>
      </c>
      <c r="W77" s="16"/>
      <c r="X77" s="17">
        <f>VLOOKUP(M77,Customer_File,9,FALSE)</f>
        <v>6</v>
      </c>
      <c r="Y77" s="32">
        <f>IF(P77="C",VLOOKUP(M77,Customer_File,5,FALSE),"")</f>
      </c>
      <c r="Z77" s="32" t="s">
        <v>216</v>
      </c>
      <c r="AA77" s="32" t="s">
        <v>216</v>
      </c>
      <c r="AB77" s="32" t="s">
        <v>216</v>
      </c>
      <c r="AC77" s="15" t="str">
        <f>VLOOKUP(M76,Customer_File,5,FALSE)</f>
        <v>114 STREET NAME</v>
      </c>
      <c r="AD77" s="15" t="str">
        <f>VLOOKUP(M76,Customer_File,6,FALSE)</f>
        <v> </v>
      </c>
      <c r="AE77" s="15" t="str">
        <f>LEFT(VLOOKUP(M77,Customer_File,7,FALSE),FIND(" ",VLOOKUP(M77,Customer_File,7,FALSE),1))</f>
        <v>TOWN </v>
      </c>
      <c r="AF77" s="15" t="s">
        <v>424</v>
      </c>
      <c r="AG77" s="15" t="str">
        <f>RIGHT(VLOOKUP(M77,Customer_File,7,FALSE),5)</f>
        <v>99999</v>
      </c>
      <c r="AH77" s="32" t="s">
        <v>216</v>
      </c>
      <c r="AI77" s="32" t="s">
        <v>216</v>
      </c>
    </row>
    <row r="78" spans="1:35" ht="11.25">
      <c r="A78" s="100" t="str">
        <f t="shared" si="13"/>
        <v>1A21</v>
      </c>
      <c r="B78" s="15" t="s">
        <v>332</v>
      </c>
      <c r="C78" s="15">
        <v>21</v>
      </c>
      <c r="D78" s="37">
        <v>1</v>
      </c>
      <c r="E78" s="15" t="s">
        <v>487</v>
      </c>
      <c r="F78" s="31" t="s">
        <v>216</v>
      </c>
      <c r="G78" s="15" t="str">
        <f>'LDC Account Table'!$B$2</f>
        <v>LDCDUNS##</v>
      </c>
      <c r="H78" s="15" t="str">
        <f>'Supplier Account Table'!$B$2</f>
        <v>SUPDUNS##</v>
      </c>
      <c r="I78" s="179">
        <f t="shared" si="15"/>
        <v>35978</v>
      </c>
      <c r="J78" s="15" t="s">
        <v>181</v>
      </c>
      <c r="K78" s="15" t="s">
        <v>216</v>
      </c>
      <c r="L78" s="39" t="str">
        <f>'Supplier Account Table'!A23</f>
        <v>S0000000000018</v>
      </c>
      <c r="M78" s="15" t="str">
        <f>'Test Customer Information'!A21</f>
        <v>D0000000000018</v>
      </c>
      <c r="N78" s="12" t="str">
        <f t="shared" si="11"/>
        <v>TURC</v>
      </c>
      <c r="O78" s="180">
        <f t="shared" si="14"/>
      </c>
      <c r="P78" s="15" t="s">
        <v>182</v>
      </c>
      <c r="Q78" s="32" t="s">
        <v>216</v>
      </c>
      <c r="R78" s="15" t="s">
        <v>361</v>
      </c>
      <c r="S78" s="15" t="s">
        <v>362</v>
      </c>
      <c r="T78" s="15" t="s">
        <v>421</v>
      </c>
      <c r="U78" s="32" t="s">
        <v>216</v>
      </c>
      <c r="V78" s="16" t="s">
        <v>216</v>
      </c>
      <c r="W78" s="16" t="s">
        <v>216</v>
      </c>
      <c r="X78" s="16" t="s">
        <v>216</v>
      </c>
      <c r="Y78" s="12" t="str">
        <f aca="true" t="shared" si="16" ref="Y78:Y83">IF(P78="C",VLOOKUP(M78,Customer_File,10,FALSE),"")</f>
        <v>Y</v>
      </c>
      <c r="Z78" s="32" t="s">
        <v>216</v>
      </c>
      <c r="AA78" s="32" t="s">
        <v>216</v>
      </c>
      <c r="AB78" s="32" t="s">
        <v>216</v>
      </c>
      <c r="AC78" s="32" t="s">
        <v>216</v>
      </c>
      <c r="AD78" s="32" t="s">
        <v>216</v>
      </c>
      <c r="AE78" s="32" t="s">
        <v>216</v>
      </c>
      <c r="AF78" s="32" t="s">
        <v>216</v>
      </c>
      <c r="AG78" s="32" t="s">
        <v>216</v>
      </c>
      <c r="AH78" s="32" t="s">
        <v>216</v>
      </c>
      <c r="AI78" s="32" t="s">
        <v>216</v>
      </c>
    </row>
    <row r="79" spans="1:35" ht="11.25">
      <c r="A79" s="100" t="str">
        <f t="shared" si="13"/>
        <v>1B25</v>
      </c>
      <c r="B79" s="15" t="s">
        <v>333</v>
      </c>
      <c r="C79" s="15">
        <v>25</v>
      </c>
      <c r="D79" s="37">
        <v>4</v>
      </c>
      <c r="E79" s="15" t="s">
        <v>488</v>
      </c>
      <c r="F79" s="31" t="s">
        <v>216</v>
      </c>
      <c r="G79" s="15" t="str">
        <f>'LDC Account Table'!$B$2</f>
        <v>LDCDUNS##</v>
      </c>
      <c r="H79" s="15" t="str">
        <f>'Supplier Account Table'!$B$2</f>
        <v>SUPDUNS##</v>
      </c>
      <c r="I79" s="179">
        <f t="shared" si="15"/>
        <v>35979</v>
      </c>
      <c r="J79" s="15" t="s">
        <v>181</v>
      </c>
      <c r="K79" s="15" t="s">
        <v>216</v>
      </c>
      <c r="L79" s="39" t="str">
        <f>L78</f>
        <v>S0000000000018</v>
      </c>
      <c r="M79" s="15" t="str">
        <f>M78</f>
        <v>D0000000000018</v>
      </c>
      <c r="N79" s="12" t="str">
        <f t="shared" si="11"/>
        <v>TURC</v>
      </c>
      <c r="O79" s="181">
        <f>VLOOKUP(VLOOKUP(M79,Customer_File,9,FALSE),July,2,FALSE)</f>
        <v>35985</v>
      </c>
      <c r="P79" s="15" t="s">
        <v>182</v>
      </c>
      <c r="Q79" s="32" t="s">
        <v>216</v>
      </c>
      <c r="R79" s="15" t="str">
        <f>R78</f>
        <v>G00</v>
      </c>
      <c r="S79" s="15" t="str">
        <f>S78</f>
        <v>G000001</v>
      </c>
      <c r="T79" s="15" t="str">
        <f>VLOOKUP(M79,Customer_File,11,FALSE)</f>
        <v>D</v>
      </c>
      <c r="U79" s="15" t="str">
        <f>VLOOKUP(M79,Customer_File,14,FALSE)</f>
        <v>M000000033</v>
      </c>
      <c r="V79" s="17">
        <v>100</v>
      </c>
      <c r="W79" s="16"/>
      <c r="X79" s="17">
        <f>VLOOKUP(M79,Customer_File,9,FALSE)</f>
        <v>6</v>
      </c>
      <c r="Y79" s="12" t="str">
        <f t="shared" si="16"/>
        <v>Y</v>
      </c>
      <c r="Z79" s="32" t="s">
        <v>216</v>
      </c>
      <c r="AA79" s="32" t="s">
        <v>216</v>
      </c>
      <c r="AB79" s="32" t="s">
        <v>216</v>
      </c>
      <c r="AC79" s="15" t="str">
        <f>VLOOKUP(M78,Customer_File,5,FALSE)</f>
        <v>115 STREET NAME</v>
      </c>
      <c r="AD79" s="15" t="str">
        <f>VLOOKUP(M78,Customer_File,6,FALSE)</f>
        <v> </v>
      </c>
      <c r="AE79" s="15" t="str">
        <f>LEFT(VLOOKUP(M79,Customer_File,7,FALSE),FIND(" ",VLOOKUP(M79,Customer_File,7,FALSE),1))</f>
        <v>TOWN </v>
      </c>
      <c r="AF79" s="15" t="s">
        <v>424</v>
      </c>
      <c r="AG79" s="15" t="str">
        <f>RIGHT(VLOOKUP(M79,Customer_File,7,FALSE),5)</f>
        <v>99999</v>
      </c>
      <c r="AH79" s="32" t="s">
        <v>216</v>
      </c>
      <c r="AI79" s="32" t="s">
        <v>216</v>
      </c>
    </row>
    <row r="80" spans="1:35" ht="11.25">
      <c r="A80" s="100" t="str">
        <f>CONCATENATE(B80,C80)</f>
        <v>1A22</v>
      </c>
      <c r="B80" s="15" t="s">
        <v>332</v>
      </c>
      <c r="C80" s="15">
        <v>22</v>
      </c>
      <c r="D80" s="37">
        <v>1</v>
      </c>
      <c r="E80" s="15" t="s">
        <v>489</v>
      </c>
      <c r="F80" s="31" t="s">
        <v>216</v>
      </c>
      <c r="G80" s="15" t="str">
        <f>'LDC Account Table'!$B$2</f>
        <v>LDCDUNS##</v>
      </c>
      <c r="H80" s="15" t="str">
        <f>'Supplier Account Table'!$B$2</f>
        <v>SUPDUNS##</v>
      </c>
      <c r="I80" s="179">
        <f t="shared" si="15"/>
        <v>35978</v>
      </c>
      <c r="J80" s="15" t="s">
        <v>181</v>
      </c>
      <c r="K80" s="15" t="s">
        <v>216</v>
      </c>
      <c r="L80" s="39" t="str">
        <f>'Supplier Account Table'!A24</f>
        <v>S0000000000019</v>
      </c>
      <c r="M80" s="15" t="str">
        <f>'Test Customer Information'!A22</f>
        <v>D0000000000019</v>
      </c>
      <c r="N80" s="12" t="str">
        <f t="shared" si="11"/>
        <v>JONE</v>
      </c>
      <c r="O80" s="180">
        <f t="shared" si="14"/>
      </c>
      <c r="P80" s="15" t="s">
        <v>182</v>
      </c>
      <c r="Q80" s="32" t="s">
        <v>216</v>
      </c>
      <c r="R80" s="15" t="s">
        <v>368</v>
      </c>
      <c r="S80" s="15" t="s">
        <v>369</v>
      </c>
      <c r="T80" s="15" t="s">
        <v>421</v>
      </c>
      <c r="U80" s="32" t="s">
        <v>216</v>
      </c>
      <c r="V80" s="16" t="s">
        <v>216</v>
      </c>
      <c r="W80" s="16" t="s">
        <v>216</v>
      </c>
      <c r="X80" s="16" t="s">
        <v>216</v>
      </c>
      <c r="Y80" s="12" t="str">
        <f t="shared" si="16"/>
        <v>Y</v>
      </c>
      <c r="Z80" s="32" t="s">
        <v>216</v>
      </c>
      <c r="AA80" s="32" t="s">
        <v>216</v>
      </c>
      <c r="AB80" s="32" t="s">
        <v>216</v>
      </c>
      <c r="AC80" s="32" t="s">
        <v>216</v>
      </c>
      <c r="AD80" s="32" t="s">
        <v>216</v>
      </c>
      <c r="AE80" s="32" t="s">
        <v>216</v>
      </c>
      <c r="AF80" s="32" t="s">
        <v>216</v>
      </c>
      <c r="AG80" s="32" t="s">
        <v>216</v>
      </c>
      <c r="AH80" s="32" t="s">
        <v>216</v>
      </c>
      <c r="AI80" s="32" t="s">
        <v>216</v>
      </c>
    </row>
    <row r="81" spans="1:35" ht="11.25">
      <c r="A81" s="100" t="str">
        <f>CONCATENATE(B81,C81)</f>
        <v>1B26</v>
      </c>
      <c r="B81" s="15" t="s">
        <v>333</v>
      </c>
      <c r="C81" s="15">
        <v>26</v>
      </c>
      <c r="D81" s="37">
        <v>4</v>
      </c>
      <c r="E81" s="15" t="s">
        <v>490</v>
      </c>
      <c r="F81" s="31" t="s">
        <v>216</v>
      </c>
      <c r="G81" s="15" t="str">
        <f>'LDC Account Table'!$B$2</f>
        <v>LDCDUNS##</v>
      </c>
      <c r="H81" s="15" t="str">
        <f>'Supplier Account Table'!$B$2</f>
        <v>SUPDUNS##</v>
      </c>
      <c r="I81" s="179">
        <f t="shared" si="15"/>
        <v>35979</v>
      </c>
      <c r="J81" s="15" t="s">
        <v>181</v>
      </c>
      <c r="K81" s="15" t="s">
        <v>216</v>
      </c>
      <c r="L81" s="39" t="str">
        <f>L80</f>
        <v>S0000000000019</v>
      </c>
      <c r="M81" s="15" t="str">
        <f>M80</f>
        <v>D0000000000019</v>
      </c>
      <c r="N81" s="12" t="str">
        <f t="shared" si="11"/>
        <v>JONE</v>
      </c>
      <c r="O81" s="181">
        <f>VLOOKUP(VLOOKUP(M81,Customer_File,9,FALSE),July,2,FALSE)</f>
        <v>35985</v>
      </c>
      <c r="P81" s="15" t="s">
        <v>182</v>
      </c>
      <c r="Q81" s="32" t="s">
        <v>216</v>
      </c>
      <c r="R81" s="15" t="s">
        <v>368</v>
      </c>
      <c r="S81" s="15" t="s">
        <v>369</v>
      </c>
      <c r="T81" s="15" t="s">
        <v>232</v>
      </c>
      <c r="U81" s="17" t="str">
        <f>VLOOKUP(M81,Customer_File,14,FALSE)</f>
        <v>U000000003</v>
      </c>
      <c r="V81" s="17">
        <v>100</v>
      </c>
      <c r="W81" s="16"/>
      <c r="X81" s="17">
        <f>VLOOKUP(M81,Customer_File,9,FALSE)</f>
        <v>6</v>
      </c>
      <c r="Y81" s="12" t="str">
        <f t="shared" si="16"/>
        <v>Y</v>
      </c>
      <c r="Z81" s="32" t="s">
        <v>216</v>
      </c>
      <c r="AA81" s="32" t="s">
        <v>216</v>
      </c>
      <c r="AB81" s="32" t="s">
        <v>216</v>
      </c>
      <c r="AC81" s="15" t="str">
        <f>VLOOKUP(M80,Customer_File,5,FALSE)</f>
        <v>116 STREET NAME</v>
      </c>
      <c r="AD81" s="15" t="str">
        <f>VLOOKUP(M80,Customer_File,6,FALSE)</f>
        <v> </v>
      </c>
      <c r="AE81" s="15" t="str">
        <f>LEFT(VLOOKUP(M81,Customer_File,7,FALSE),FIND(" ",VLOOKUP(M81,Customer_File,7,FALSE),1))</f>
        <v>TOWN </v>
      </c>
      <c r="AF81" s="15" t="s">
        <v>424</v>
      </c>
      <c r="AG81" s="15" t="str">
        <f>RIGHT(VLOOKUP(M81,Customer_File,7,FALSE),5)</f>
        <v>99999</v>
      </c>
      <c r="AH81" s="32" t="s">
        <v>216</v>
      </c>
      <c r="AI81" s="32" t="s">
        <v>216</v>
      </c>
    </row>
    <row r="82" spans="1:35" ht="11.25">
      <c r="A82" s="100" t="str">
        <f>CONCATENATE(B82,C82)</f>
        <v>1A23</v>
      </c>
      <c r="B82" s="15" t="s">
        <v>332</v>
      </c>
      <c r="C82" s="15">
        <v>23</v>
      </c>
      <c r="D82" s="37">
        <v>1</v>
      </c>
      <c r="E82" s="15" t="s">
        <v>491</v>
      </c>
      <c r="F82" s="31" t="s">
        <v>216</v>
      </c>
      <c r="G82" s="15" t="str">
        <f>'LDC Account Table'!$B$2</f>
        <v>LDCDUNS##</v>
      </c>
      <c r="H82" s="15" t="str">
        <f>'Supplier Account Table'!$B$2</f>
        <v>SUPDUNS##</v>
      </c>
      <c r="I82" s="179">
        <f t="shared" si="15"/>
        <v>35978</v>
      </c>
      <c r="J82" s="15" t="s">
        <v>181</v>
      </c>
      <c r="K82" s="15" t="s">
        <v>216</v>
      </c>
      <c r="L82" s="39" t="str">
        <f>'Supplier Account Table'!A25</f>
        <v>S0000000000020</v>
      </c>
      <c r="M82" s="15" t="str">
        <f>'Test Customer Information'!A23</f>
        <v>D0000000000020</v>
      </c>
      <c r="N82" s="12" t="str">
        <f t="shared" si="11"/>
        <v>EAST</v>
      </c>
      <c r="O82" s="180">
        <f t="shared" si="14"/>
      </c>
      <c r="P82" s="15" t="s">
        <v>182</v>
      </c>
      <c r="Q82" s="32" t="s">
        <v>216</v>
      </c>
      <c r="R82" s="15" t="s">
        <v>363</v>
      </c>
      <c r="S82" s="15" t="s">
        <v>364</v>
      </c>
      <c r="T82" s="15" t="s">
        <v>421</v>
      </c>
      <c r="U82" s="32" t="s">
        <v>216</v>
      </c>
      <c r="V82" s="16" t="s">
        <v>216</v>
      </c>
      <c r="W82" s="16" t="s">
        <v>216</v>
      </c>
      <c r="X82" s="16">
        <f>IF(AND(D82=4,P82="C"),VLOOKUP(M82,Customer_File,3,FALSE),"")</f>
      </c>
      <c r="Y82" s="12" t="str">
        <f t="shared" si="16"/>
        <v>N</v>
      </c>
      <c r="Z82" s="32" t="s">
        <v>216</v>
      </c>
      <c r="AA82" s="32" t="s">
        <v>216</v>
      </c>
      <c r="AB82" s="32" t="s">
        <v>216</v>
      </c>
      <c r="AC82" s="32" t="s">
        <v>216</v>
      </c>
      <c r="AD82" s="32" t="s">
        <v>216</v>
      </c>
      <c r="AE82" s="32" t="s">
        <v>216</v>
      </c>
      <c r="AF82" s="32" t="s">
        <v>216</v>
      </c>
      <c r="AG82" s="32" t="s">
        <v>216</v>
      </c>
      <c r="AH82" s="32" t="s">
        <v>216</v>
      </c>
      <c r="AI82" s="32" t="s">
        <v>216</v>
      </c>
    </row>
    <row r="83" spans="1:35" ht="11.25">
      <c r="A83" s="100" t="str">
        <f>CONCATENATE(B83,C83)</f>
        <v>1B27</v>
      </c>
      <c r="B83" s="15" t="s">
        <v>333</v>
      </c>
      <c r="C83" s="15">
        <v>27</v>
      </c>
      <c r="D83" s="37">
        <v>4</v>
      </c>
      <c r="E83" s="15" t="s">
        <v>492</v>
      </c>
      <c r="F83" s="31" t="s">
        <v>216</v>
      </c>
      <c r="G83" s="15" t="str">
        <f>'LDC Account Table'!$B$2</f>
        <v>LDCDUNS##</v>
      </c>
      <c r="H83" s="15" t="str">
        <f>'Supplier Account Table'!$B$2</f>
        <v>SUPDUNS##</v>
      </c>
      <c r="I83" s="179">
        <f t="shared" si="15"/>
        <v>35979</v>
      </c>
      <c r="J83" s="15" t="s">
        <v>181</v>
      </c>
      <c r="K83" s="15" t="s">
        <v>216</v>
      </c>
      <c r="L83" s="39" t="str">
        <f>L82</f>
        <v>S0000000000020</v>
      </c>
      <c r="M83" s="15" t="str">
        <f>M82</f>
        <v>D0000000000020</v>
      </c>
      <c r="N83" s="12" t="str">
        <f t="shared" si="11"/>
        <v>EAST</v>
      </c>
      <c r="O83" s="181">
        <f>VLOOKUP(VLOOKUP(M83,Customer_File,9,FALSE),July,2,FALSE)</f>
        <v>35998</v>
      </c>
      <c r="P83" s="15" t="s">
        <v>182</v>
      </c>
      <c r="Q83" s="32" t="s">
        <v>216</v>
      </c>
      <c r="R83" s="15" t="str">
        <f>R82</f>
        <v>R01</v>
      </c>
      <c r="S83" s="15" t="str">
        <f>S82</f>
        <v>R000001</v>
      </c>
      <c r="T83" s="15" t="str">
        <f>VLOOKUP(M83,Customer_File,11,FALSE)</f>
        <v>E</v>
      </c>
      <c r="U83" s="15" t="str">
        <f>VLOOKUP(M83,Customer_File,14,FALSE)</f>
        <v>M000000036</v>
      </c>
      <c r="V83" s="17">
        <v>100</v>
      </c>
      <c r="W83" s="16"/>
      <c r="X83" s="17">
        <f>VLOOKUP(M83,Customer_File,9,FALSE)</f>
        <v>15</v>
      </c>
      <c r="Y83" s="12" t="str">
        <f t="shared" si="16"/>
        <v>N</v>
      </c>
      <c r="Z83" s="32" t="s">
        <v>216</v>
      </c>
      <c r="AA83" s="32" t="s">
        <v>216</v>
      </c>
      <c r="AB83" s="32" t="s">
        <v>216</v>
      </c>
      <c r="AC83" s="15" t="str">
        <f>VLOOKUP(M82,Customer_File,5,FALSE)</f>
        <v>117 STREET NAME</v>
      </c>
      <c r="AD83" s="15" t="str">
        <f>VLOOKUP(M82,Customer_File,6,FALSE)</f>
        <v> </v>
      </c>
      <c r="AE83" s="15" t="str">
        <f>LEFT(VLOOKUP(M83,Customer_File,7,FALSE),FIND(" ",VLOOKUP(M83,Customer_File,7,FALSE),1))</f>
        <v>TOWN </v>
      </c>
      <c r="AF83" s="15" t="s">
        <v>424</v>
      </c>
      <c r="AG83" s="15" t="str">
        <f>RIGHT(VLOOKUP(M83,Customer_File,7,FALSE),5)</f>
        <v>99999</v>
      </c>
      <c r="AH83" s="32" t="s">
        <v>216</v>
      </c>
      <c r="AI83" s="32" t="s">
        <v>216</v>
      </c>
    </row>
    <row r="84" spans="1:35" ht="11.25">
      <c r="A84" s="100" t="str">
        <f>CONCATENATE(B84,C84)</f>
        <v>1A24</v>
      </c>
      <c r="B84" s="12" t="s">
        <v>332</v>
      </c>
      <c r="C84" s="12">
        <v>24</v>
      </c>
      <c r="D84" s="30">
        <v>15</v>
      </c>
      <c r="E84" s="12" t="s">
        <v>493</v>
      </c>
      <c r="F84" s="31"/>
      <c r="G84" s="15" t="str">
        <f>'LDC Account Table'!$B$2</f>
        <v>LDCDUNS##</v>
      </c>
      <c r="H84" s="15" t="str">
        <f>'Supplier Account Table'!$B$2</f>
        <v>SUPDUNS##</v>
      </c>
      <c r="I84" s="179">
        <f t="shared" si="15"/>
        <v>35978</v>
      </c>
      <c r="J84" s="12" t="s">
        <v>184</v>
      </c>
      <c r="K84" s="12" t="s">
        <v>216</v>
      </c>
      <c r="L84" s="32" t="s">
        <v>216</v>
      </c>
      <c r="M84" s="12" t="str">
        <f>'Test Customer Information'!A15</f>
        <v>D0000000000012</v>
      </c>
      <c r="N84" s="12" t="str">
        <f>'Test Customer Information'!C15</f>
        <v>IBM</v>
      </c>
      <c r="O84" s="180" t="s">
        <v>216</v>
      </c>
      <c r="P84" s="32" t="s">
        <v>216</v>
      </c>
      <c r="Q84" s="32" t="s">
        <v>216</v>
      </c>
      <c r="R84" s="32" t="s">
        <v>216</v>
      </c>
      <c r="S84" s="32" t="s">
        <v>216</v>
      </c>
      <c r="T84" s="32" t="s">
        <v>216</v>
      </c>
      <c r="U84" s="32" t="s">
        <v>216</v>
      </c>
      <c r="V84" s="16" t="s">
        <v>216</v>
      </c>
      <c r="W84" s="32" t="s">
        <v>216</v>
      </c>
      <c r="X84" s="16" t="s">
        <v>216</v>
      </c>
      <c r="Y84" s="32" t="s">
        <v>216</v>
      </c>
      <c r="Z84" s="32" t="s">
        <v>216</v>
      </c>
      <c r="AA84" s="32" t="s">
        <v>216</v>
      </c>
      <c r="AB84" s="32" t="s">
        <v>216</v>
      </c>
      <c r="AC84" s="32" t="s">
        <v>216</v>
      </c>
      <c r="AD84" s="32" t="s">
        <v>216</v>
      </c>
      <c r="AE84" s="32" t="s">
        <v>216</v>
      </c>
      <c r="AF84" s="32" t="s">
        <v>216</v>
      </c>
      <c r="AG84" s="32" t="s">
        <v>216</v>
      </c>
      <c r="AH84" s="32" t="s">
        <v>216</v>
      </c>
      <c r="AI84" s="32" t="s">
        <v>216</v>
      </c>
    </row>
  </sheetData>
  <autoFilter ref="B1:B85"/>
  <printOptions/>
  <pageMargins left="0.75" right="0.75" top="1" bottom="1" header="0.5" footer="0.5"/>
  <pageSetup fitToHeight="3" horizontalDpi="600" verticalDpi="600" orientation="landscape" scale="45" r:id="rId1"/>
  <headerFooter alignWithMargins="0">
    <oddHeader>&amp;CEBT Test Conditions
&amp;A</oddHeader>
    <oddFooter>&amp;LVersion 5.0&amp;CPage &amp;P&amp;RIssued:  June 25, 1999
</oddFooter>
  </headerFooter>
</worksheet>
</file>

<file path=xl/worksheets/sheet7.xml><?xml version="1.0" encoding="utf-8"?>
<worksheet xmlns="http://schemas.openxmlformats.org/spreadsheetml/2006/main" xmlns:r="http://schemas.openxmlformats.org/officeDocument/2006/relationships">
  <dimension ref="A1:BD25"/>
  <sheetViews>
    <sheetView zoomScale="75" zoomScaleNormal="75" workbookViewId="0" topLeftCell="B1">
      <selection activeCell="A1" sqref="A1:IV16384"/>
      <selection activeCell="AJ3" sqref="AJ3"/>
    </sheetView>
  </sheetViews>
  <sheetFormatPr defaultColWidth="9.140625" defaultRowHeight="12.75"/>
  <cols>
    <col min="1" max="1" width="0" style="81" hidden="1" customWidth="1"/>
    <col min="2" max="3" width="3.28125" style="10" customWidth="1"/>
    <col min="4" max="4" width="5.57421875" style="10" customWidth="1"/>
    <col min="5" max="5" width="24.140625" style="10" customWidth="1"/>
    <col min="6" max="6" width="1.7109375" style="11" customWidth="1"/>
    <col min="7" max="7" width="11.7109375" style="15" customWidth="1"/>
    <col min="8" max="9" width="11.7109375" style="100" customWidth="1"/>
    <col min="10" max="10" width="8.8515625" style="10" customWidth="1"/>
    <col min="11" max="11" width="14.421875" style="10" customWidth="1"/>
    <col min="12" max="12" width="14.57421875" style="10" customWidth="1"/>
    <col min="13" max="13" width="9.28125" style="10" customWidth="1"/>
    <col min="14" max="15" width="8.8515625" style="10" customWidth="1"/>
    <col min="16" max="16" width="11.421875" style="10" customWidth="1"/>
    <col min="17" max="18" width="8.8515625" style="10" customWidth="1"/>
    <col min="19" max="19" width="8.8515625" style="59" customWidth="1"/>
    <col min="20" max="20" width="10.28125" style="59" customWidth="1"/>
    <col min="21" max="31" width="8.8515625" style="10" customWidth="1"/>
    <col min="32" max="32" width="8.8515625" style="78" customWidth="1"/>
    <col min="33" max="35" width="8.8515625" style="10" customWidth="1"/>
    <col min="36" max="45" width="8.8515625" style="69" customWidth="1"/>
    <col min="46" max="46" width="0" style="81" hidden="1" customWidth="1"/>
    <col min="47" max="47" width="13.00390625" style="81" hidden="1" customWidth="1"/>
    <col min="48" max="56" width="9.140625" style="81" hidden="1" customWidth="1"/>
    <col min="57" max="16384" width="8.8515625" style="81" customWidth="1"/>
  </cols>
  <sheetData>
    <row r="1" spans="2:56" ht="45">
      <c r="B1" s="10" t="s">
        <v>216</v>
      </c>
      <c r="C1" s="10" t="s">
        <v>216</v>
      </c>
      <c r="D1" s="7" t="s">
        <v>494</v>
      </c>
      <c r="E1" s="53" t="s">
        <v>495</v>
      </c>
      <c r="F1" s="170" t="s">
        <v>216</v>
      </c>
      <c r="G1" s="48" t="s">
        <v>374</v>
      </c>
      <c r="H1" s="187"/>
      <c r="I1" s="187"/>
      <c r="J1" s="191"/>
      <c r="K1" s="55" t="s">
        <v>216</v>
      </c>
      <c r="L1" s="55" t="s">
        <v>216</v>
      </c>
      <c r="M1" s="55"/>
      <c r="N1" s="55" t="s">
        <v>216</v>
      </c>
      <c r="O1" s="55" t="s">
        <v>216</v>
      </c>
      <c r="P1" s="55" t="s">
        <v>216</v>
      </c>
      <c r="Q1" s="55" t="s">
        <v>216</v>
      </c>
      <c r="R1" s="55" t="s">
        <v>216</v>
      </c>
      <c r="S1" s="60" t="s">
        <v>216</v>
      </c>
      <c r="T1" s="60" t="s">
        <v>216</v>
      </c>
      <c r="U1" s="55" t="s">
        <v>216</v>
      </c>
      <c r="V1" s="55" t="s">
        <v>216</v>
      </c>
      <c r="W1" s="55"/>
      <c r="X1" s="55" t="s">
        <v>216</v>
      </c>
      <c r="Y1" s="55" t="s">
        <v>216</v>
      </c>
      <c r="Z1" s="55" t="s">
        <v>216</v>
      </c>
      <c r="AA1" s="55" t="s">
        <v>216</v>
      </c>
      <c r="AB1" s="55" t="s">
        <v>216</v>
      </c>
      <c r="AC1" s="55" t="s">
        <v>216</v>
      </c>
      <c r="AD1" s="55" t="s">
        <v>216</v>
      </c>
      <c r="AE1" s="55" t="s">
        <v>216</v>
      </c>
      <c r="AF1" s="72" t="s">
        <v>216</v>
      </c>
      <c r="AG1" s="55" t="s">
        <v>216</v>
      </c>
      <c r="AH1" s="55" t="s">
        <v>216</v>
      </c>
      <c r="AI1" s="55" t="s">
        <v>216</v>
      </c>
      <c r="AJ1" s="64" t="s">
        <v>216</v>
      </c>
      <c r="AK1" s="64" t="s">
        <v>216</v>
      </c>
      <c r="AL1" s="64" t="s">
        <v>216</v>
      </c>
      <c r="AM1" s="64" t="s">
        <v>216</v>
      </c>
      <c r="AN1" s="64" t="s">
        <v>216</v>
      </c>
      <c r="AO1" s="64" t="s">
        <v>216</v>
      </c>
      <c r="AP1" s="64" t="s">
        <v>216</v>
      </c>
      <c r="AQ1" s="64" t="s">
        <v>216</v>
      </c>
      <c r="AR1" s="64" t="s">
        <v>216</v>
      </c>
      <c r="AS1" s="70" t="s">
        <v>216</v>
      </c>
      <c r="AT1" s="81" t="s">
        <v>216</v>
      </c>
      <c r="AU1" s="81" t="s">
        <v>216</v>
      </c>
      <c r="AV1" s="81" t="s">
        <v>216</v>
      </c>
      <c r="AW1" s="81" t="s">
        <v>216</v>
      </c>
      <c r="AX1" s="81" t="s">
        <v>216</v>
      </c>
      <c r="AY1" s="81" t="s">
        <v>216</v>
      </c>
      <c r="AZ1" s="81" t="s">
        <v>216</v>
      </c>
      <c r="BA1" s="81" t="s">
        <v>216</v>
      </c>
      <c r="BB1" s="81" t="s">
        <v>216</v>
      </c>
      <c r="BC1" s="81" t="s">
        <v>216</v>
      </c>
      <c r="BD1" s="81" t="s">
        <v>216</v>
      </c>
    </row>
    <row r="2" spans="2:56" ht="33.75">
      <c r="B2" s="10" t="s">
        <v>216</v>
      </c>
      <c r="C2" s="10" t="s">
        <v>216</v>
      </c>
      <c r="D2" s="5" t="s">
        <v>496</v>
      </c>
      <c r="E2" s="6" t="s">
        <v>497</v>
      </c>
      <c r="F2" s="169" t="s">
        <v>216</v>
      </c>
      <c r="G2" s="178">
        <v>1</v>
      </c>
      <c r="H2" s="178">
        <v>2</v>
      </c>
      <c r="I2" s="178">
        <v>3</v>
      </c>
      <c r="J2" s="24">
        <v>4</v>
      </c>
      <c r="K2" s="24">
        <v>5</v>
      </c>
      <c r="L2" s="24">
        <v>6</v>
      </c>
      <c r="M2" s="24">
        <v>7</v>
      </c>
      <c r="N2" s="24">
        <v>28</v>
      </c>
      <c r="O2" s="24">
        <v>9</v>
      </c>
      <c r="P2" s="24">
        <v>10</v>
      </c>
      <c r="Q2" s="24">
        <v>8</v>
      </c>
      <c r="R2" s="24">
        <v>29</v>
      </c>
      <c r="S2" s="24">
        <v>12</v>
      </c>
      <c r="T2" s="24">
        <v>13</v>
      </c>
      <c r="U2" s="24">
        <v>11</v>
      </c>
      <c r="V2" s="24">
        <v>14</v>
      </c>
      <c r="W2" s="24">
        <v>15</v>
      </c>
      <c r="X2" s="24">
        <v>16</v>
      </c>
      <c r="Y2" s="24">
        <v>17</v>
      </c>
      <c r="Z2" s="24">
        <v>18</v>
      </c>
      <c r="AA2" s="24">
        <v>19</v>
      </c>
      <c r="AB2" s="24">
        <v>20</v>
      </c>
      <c r="AC2" s="24">
        <v>21</v>
      </c>
      <c r="AD2" s="24">
        <v>22</v>
      </c>
      <c r="AE2" s="24">
        <v>23</v>
      </c>
      <c r="AF2" s="144">
        <v>24</v>
      </c>
      <c r="AG2" s="24">
        <v>25</v>
      </c>
      <c r="AH2" s="24">
        <v>26</v>
      </c>
      <c r="AI2" s="127">
        <v>27</v>
      </c>
      <c r="AJ2" s="128">
        <v>31</v>
      </c>
      <c r="AK2" s="128">
        <v>32</v>
      </c>
      <c r="AL2" s="128">
        <v>33</v>
      </c>
      <c r="AM2" s="128">
        <v>34</v>
      </c>
      <c r="AN2" s="128">
        <v>35</v>
      </c>
      <c r="AO2" s="128">
        <v>36</v>
      </c>
      <c r="AP2" s="128">
        <v>30</v>
      </c>
      <c r="AQ2" s="128">
        <v>38</v>
      </c>
      <c r="AR2" s="128">
        <v>37</v>
      </c>
      <c r="AS2" s="128">
        <v>39</v>
      </c>
      <c r="AT2" s="81" t="s">
        <v>216</v>
      </c>
      <c r="AU2" s="155" t="s">
        <v>498</v>
      </c>
      <c r="AV2" s="114" t="s">
        <v>216</v>
      </c>
      <c r="AW2" s="114" t="s">
        <v>216</v>
      </c>
      <c r="AX2" s="114" t="s">
        <v>216</v>
      </c>
      <c r="AY2" s="114" t="s">
        <v>216</v>
      </c>
      <c r="AZ2" s="114" t="s">
        <v>216</v>
      </c>
      <c r="BA2" s="114" t="s">
        <v>216</v>
      </c>
      <c r="BB2" s="114" t="s">
        <v>216</v>
      </c>
      <c r="BC2" s="114" t="s">
        <v>216</v>
      </c>
      <c r="BD2" s="115" t="s">
        <v>216</v>
      </c>
    </row>
    <row r="3" spans="2:56" s="82" customFormat="1" ht="63" customHeight="1" thickBot="1">
      <c r="B3" s="57" t="s">
        <v>377</v>
      </c>
      <c r="C3" s="57" t="s">
        <v>378</v>
      </c>
      <c r="D3" s="57" t="s">
        <v>379</v>
      </c>
      <c r="E3" s="58" t="s">
        <v>380</v>
      </c>
      <c r="F3" s="4" t="s">
        <v>216</v>
      </c>
      <c r="G3" s="109" t="s">
        <v>381</v>
      </c>
      <c r="H3" s="109" t="s">
        <v>382</v>
      </c>
      <c r="I3" s="109" t="s">
        <v>383</v>
      </c>
      <c r="J3" s="3" t="s">
        <v>499</v>
      </c>
      <c r="K3" s="3" t="s">
        <v>386</v>
      </c>
      <c r="L3" s="3" t="s">
        <v>189</v>
      </c>
      <c r="M3" s="3" t="s">
        <v>500</v>
      </c>
      <c r="N3" s="3" t="s">
        <v>391</v>
      </c>
      <c r="O3" s="3" t="s">
        <v>393</v>
      </c>
      <c r="P3" s="3" t="s">
        <v>394</v>
      </c>
      <c r="Q3" s="3" t="s">
        <v>389</v>
      </c>
      <c r="R3" s="3" t="s">
        <v>392</v>
      </c>
      <c r="S3" s="103" t="s">
        <v>501</v>
      </c>
      <c r="T3" s="103" t="s">
        <v>502</v>
      </c>
      <c r="U3" s="3" t="s">
        <v>503</v>
      </c>
      <c r="V3" s="3" t="s">
        <v>504</v>
      </c>
      <c r="W3" s="3" t="s">
        <v>505</v>
      </c>
      <c r="X3" s="3" t="s">
        <v>506</v>
      </c>
      <c r="Y3" s="3" t="s">
        <v>507</v>
      </c>
      <c r="Z3" s="3" t="s">
        <v>508</v>
      </c>
      <c r="AA3" s="3" t="s">
        <v>509</v>
      </c>
      <c r="AB3" s="3" t="s">
        <v>510</v>
      </c>
      <c r="AC3" s="3" t="s">
        <v>511</v>
      </c>
      <c r="AD3" s="3" t="s">
        <v>512</v>
      </c>
      <c r="AE3" s="3" t="s">
        <v>513</v>
      </c>
      <c r="AF3" s="73" t="s">
        <v>514</v>
      </c>
      <c r="AG3" s="3" t="s">
        <v>515</v>
      </c>
      <c r="AH3" s="3" t="s">
        <v>397</v>
      </c>
      <c r="AI3" s="3" t="s">
        <v>516</v>
      </c>
      <c r="AJ3" s="65" t="s">
        <v>517</v>
      </c>
      <c r="AK3" s="65" t="s">
        <v>518</v>
      </c>
      <c r="AL3" s="65" t="s">
        <v>519</v>
      </c>
      <c r="AM3" s="65" t="s">
        <v>520</v>
      </c>
      <c r="AN3" s="65" t="s">
        <v>521</v>
      </c>
      <c r="AO3" s="65" t="s">
        <v>522</v>
      </c>
      <c r="AP3" s="65" t="s">
        <v>523</v>
      </c>
      <c r="AQ3" s="65" t="s">
        <v>524</v>
      </c>
      <c r="AR3" s="65" t="s">
        <v>525</v>
      </c>
      <c r="AS3" s="65" t="s">
        <v>526</v>
      </c>
      <c r="AT3" s="82" t="s">
        <v>216</v>
      </c>
      <c r="AU3" s="110" t="s">
        <v>527</v>
      </c>
      <c r="AV3" s="110" t="s">
        <v>528</v>
      </c>
      <c r="AW3" s="110" t="s">
        <v>529</v>
      </c>
      <c r="AX3" s="110" t="s">
        <v>354</v>
      </c>
      <c r="AY3" s="110" t="s">
        <v>355</v>
      </c>
      <c r="AZ3" s="110" t="s">
        <v>356</v>
      </c>
      <c r="BA3" s="110" t="s">
        <v>357</v>
      </c>
      <c r="BB3" s="110" t="s">
        <v>358</v>
      </c>
      <c r="BC3" s="110" t="s">
        <v>359</v>
      </c>
      <c r="BD3" s="110" t="s">
        <v>360</v>
      </c>
    </row>
    <row r="4" spans="2:56" s="83" customFormat="1" ht="12" thickBot="1">
      <c r="B4" s="20" t="s">
        <v>216</v>
      </c>
      <c r="C4" s="20" t="s">
        <v>216</v>
      </c>
      <c r="D4" s="20" t="s">
        <v>216</v>
      </c>
      <c r="E4" s="20" t="s">
        <v>216</v>
      </c>
      <c r="F4" s="21" t="s">
        <v>216</v>
      </c>
      <c r="G4" s="19" t="s">
        <v>409</v>
      </c>
      <c r="H4" s="19" t="s">
        <v>409</v>
      </c>
      <c r="I4" s="19" t="s">
        <v>410</v>
      </c>
      <c r="J4" s="22" t="s">
        <v>530</v>
      </c>
      <c r="K4" s="23" t="s">
        <v>413</v>
      </c>
      <c r="L4" s="23" t="s">
        <v>413</v>
      </c>
      <c r="M4" s="22" t="s">
        <v>417</v>
      </c>
      <c r="N4" s="22" t="s">
        <v>415</v>
      </c>
      <c r="O4" s="22" t="s">
        <v>411</v>
      </c>
      <c r="P4" s="22" t="s">
        <v>409</v>
      </c>
      <c r="Q4" s="22" t="s">
        <v>411</v>
      </c>
      <c r="R4" s="22" t="s">
        <v>531</v>
      </c>
      <c r="S4" s="22" t="s">
        <v>532</v>
      </c>
      <c r="T4" s="22" t="s">
        <v>532</v>
      </c>
      <c r="U4" s="22" t="s">
        <v>411</v>
      </c>
      <c r="V4" s="22" t="s">
        <v>533</v>
      </c>
      <c r="W4" s="22" t="s">
        <v>533</v>
      </c>
      <c r="X4" s="22" t="s">
        <v>534</v>
      </c>
      <c r="Y4" s="22" t="s">
        <v>534</v>
      </c>
      <c r="Z4" s="22" t="s">
        <v>533</v>
      </c>
      <c r="AA4" s="22" t="s">
        <v>534</v>
      </c>
      <c r="AB4" s="22" t="s">
        <v>534</v>
      </c>
      <c r="AC4" s="22" t="s">
        <v>533</v>
      </c>
      <c r="AD4" s="22" t="s">
        <v>534</v>
      </c>
      <c r="AE4" s="22" t="s">
        <v>534</v>
      </c>
      <c r="AF4" s="74" t="s">
        <v>534</v>
      </c>
      <c r="AG4" s="22" t="s">
        <v>535</v>
      </c>
      <c r="AH4" s="22" t="s">
        <v>417</v>
      </c>
      <c r="AI4" s="22" t="s">
        <v>532</v>
      </c>
      <c r="AJ4" s="66" t="s">
        <v>536</v>
      </c>
      <c r="AK4" s="66" t="s">
        <v>536</v>
      </c>
      <c r="AL4" s="66" t="s">
        <v>536</v>
      </c>
      <c r="AM4" s="66" t="s">
        <v>536</v>
      </c>
      <c r="AN4" s="66" t="s">
        <v>536</v>
      </c>
      <c r="AO4" s="66" t="s">
        <v>536</v>
      </c>
      <c r="AP4" s="66" t="s">
        <v>536</v>
      </c>
      <c r="AQ4" s="66" t="s">
        <v>536</v>
      </c>
      <c r="AR4" s="66" t="s">
        <v>536</v>
      </c>
      <c r="AS4" s="66" t="s">
        <v>536</v>
      </c>
      <c r="AT4" s="83" t="s">
        <v>216</v>
      </c>
      <c r="AU4" s="111" t="s">
        <v>216</v>
      </c>
      <c r="AV4" s="111" t="s">
        <v>216</v>
      </c>
      <c r="AW4" s="111" t="s">
        <v>216</v>
      </c>
      <c r="AX4" s="111" t="s">
        <v>216</v>
      </c>
      <c r="AY4" s="111" t="s">
        <v>216</v>
      </c>
      <c r="AZ4" s="111" t="s">
        <v>216</v>
      </c>
      <c r="BA4" s="111" t="s">
        <v>216</v>
      </c>
      <c r="BB4" s="111" t="s">
        <v>216</v>
      </c>
      <c r="BC4" s="111" t="s">
        <v>216</v>
      </c>
      <c r="BD4" s="111" t="s">
        <v>216</v>
      </c>
    </row>
    <row r="5" spans="1:56" ht="11.25">
      <c r="A5" s="81" t="str">
        <f>CONCATENATE(B5,C5)</f>
        <v>2B11</v>
      </c>
      <c r="B5" s="1" t="s">
        <v>50</v>
      </c>
      <c r="C5" s="1">
        <v>11</v>
      </c>
      <c r="D5" s="126">
        <v>11</v>
      </c>
      <c r="E5" s="1" t="s">
        <v>537</v>
      </c>
      <c r="F5" s="9" t="s">
        <v>216</v>
      </c>
      <c r="G5" s="15" t="str">
        <f>'LDC Account Table'!$B$2</f>
        <v>LDCDUNS##</v>
      </c>
      <c r="H5" s="15" t="str">
        <f>'Supplier Account Table'!$B$2</f>
        <v>SUPDUNS##</v>
      </c>
      <c r="I5" s="179">
        <f>VLOOKUP(B5,File_Dates,2,FALSE)</f>
        <v>35982</v>
      </c>
      <c r="J5" s="42" t="s">
        <v>538</v>
      </c>
      <c r="K5" s="1" t="str">
        <f>'Category 814'!L42</f>
        <v>S0000000000004</v>
      </c>
      <c r="L5" s="1" t="str">
        <f>'Category 814'!M42</f>
        <v>D000000000003A</v>
      </c>
      <c r="M5" s="41">
        <v>3</v>
      </c>
      <c r="N5" s="12" t="str">
        <f>'Category 814'!R14</f>
        <v>R01</v>
      </c>
      <c r="O5" s="71" t="str">
        <f>VLOOKUP(L5,Customer_File,11,FALSE)</f>
        <v>E</v>
      </c>
      <c r="P5" s="1" t="str">
        <f>VLOOKUP(L5,Customer_File,14,FALSE)</f>
        <v>M000000004</v>
      </c>
      <c r="Q5" s="1" t="s">
        <v>182</v>
      </c>
      <c r="R5" s="8" t="str">
        <f>'Category 814'!S42</f>
        <v>R000002</v>
      </c>
      <c r="S5" s="192">
        <f>I5</f>
        <v>35982</v>
      </c>
      <c r="T5" s="192">
        <f>S5-23</f>
        <v>35959</v>
      </c>
      <c r="U5" s="71" t="str">
        <f>VLOOKUP(L5,Customer_File,12,FALSE)</f>
        <v>N</v>
      </c>
      <c r="V5" s="1">
        <v>999</v>
      </c>
      <c r="W5" s="42"/>
      <c r="X5" s="42" t="s">
        <v>216</v>
      </c>
      <c r="Y5" s="42" t="s">
        <v>216</v>
      </c>
      <c r="Z5" s="42" t="s">
        <v>216</v>
      </c>
      <c r="AA5" s="42" t="s">
        <v>216</v>
      </c>
      <c r="AB5" s="42" t="s">
        <v>216</v>
      </c>
      <c r="AC5" s="42" t="s">
        <v>216</v>
      </c>
      <c r="AD5" s="42" t="s">
        <v>216</v>
      </c>
      <c r="AE5" s="42" t="s">
        <v>216</v>
      </c>
      <c r="AF5" s="75" t="s">
        <v>216</v>
      </c>
      <c r="AG5" s="42" t="s">
        <v>216</v>
      </c>
      <c r="AH5" s="17">
        <f>VLOOKUP(L5,Customer_File,9,FALSE)</f>
        <v>16</v>
      </c>
      <c r="AI5" s="181">
        <f>S5</f>
        <v>35982</v>
      </c>
      <c r="AJ5" s="44">
        <f>SUM(AV5:BD5)</f>
        <v>29.97</v>
      </c>
      <c r="AK5" s="43">
        <v>0</v>
      </c>
      <c r="AL5" s="43">
        <f>SUM(AX5,AY5,BA5)</f>
        <v>0</v>
      </c>
      <c r="AM5" s="43">
        <v>0</v>
      </c>
      <c r="AN5" s="43">
        <f>SUM(AW5,AY5,AZ5,BA5)</f>
        <v>0</v>
      </c>
      <c r="AO5" s="43">
        <v>0</v>
      </c>
      <c r="AP5" s="68" t="s">
        <v>216</v>
      </c>
      <c r="AQ5" s="68" t="s">
        <v>216</v>
      </c>
      <c r="AR5" s="68" t="s">
        <v>216</v>
      </c>
      <c r="AS5" s="68" t="s">
        <v>216</v>
      </c>
      <c r="AT5" s="81" t="s">
        <v>216</v>
      </c>
      <c r="AU5" s="112" t="str">
        <f>CONCATENATE(N5,R5)</f>
        <v>R01R000002</v>
      </c>
      <c r="AV5" s="113">
        <f>IF(ISNUMBER(V5),VLOOKUP(AU5,Rate_Table,4,FALSE)*V5,0)</f>
        <v>29.97</v>
      </c>
      <c r="AW5" s="113">
        <f>IF(ISNUMBER(X5),VLOOKUP(AU5,Rate_Table,5,FALSE)*VALUE(X5),0)</f>
        <v>0</v>
      </c>
      <c r="AX5" s="113">
        <f>IF(ISNUMBER(Z5),VLOOKUP(AU5,Rate_Table,6,FALSE)*Z5,0)</f>
        <v>0</v>
      </c>
      <c r="AY5" s="113">
        <f>IF(ISNUMBER(AA5),VLOOKUP(AU5,Rate_Table,7,FALSE)*AA5,0)</f>
        <v>0</v>
      </c>
      <c r="AZ5" s="113">
        <f>IF(ISNUMBER(Y5),VLOOKUP(AU5,Rate_Table,8,FALSE)*Y5,0)</f>
        <v>0</v>
      </c>
      <c r="BA5" s="113">
        <f>IF(ISNUMBER(AB5),VLOOKUP(AU5,Rate_Table,9,FALSE)*AB5,0)</f>
        <v>0</v>
      </c>
      <c r="BB5" s="113"/>
      <c r="BC5" s="113" t="s">
        <v>216</v>
      </c>
      <c r="BD5" s="113" t="s">
        <v>216</v>
      </c>
    </row>
    <row r="6" spans="1:56" ht="11.25">
      <c r="A6" s="81" t="str">
        <f aca="true" t="shared" si="0" ref="A6:A21">CONCATENATE(B6,C6)</f>
        <v>2B12</v>
      </c>
      <c r="B6" s="1" t="s">
        <v>50</v>
      </c>
      <c r="C6" s="1">
        <v>12</v>
      </c>
      <c r="D6" s="126">
        <v>11</v>
      </c>
      <c r="E6" s="1" t="s">
        <v>539</v>
      </c>
      <c r="F6" s="9" t="s">
        <v>216</v>
      </c>
      <c r="G6" s="15" t="str">
        <f>'LDC Account Table'!$B$2</f>
        <v>LDCDUNS##</v>
      </c>
      <c r="H6" s="15" t="str">
        <f>'Supplier Account Table'!$B$2</f>
        <v>SUPDUNS##</v>
      </c>
      <c r="I6" s="179">
        <f>VLOOKUP(B6,File_Dates,2,FALSE)</f>
        <v>35982</v>
      </c>
      <c r="J6" s="42" t="s">
        <v>538</v>
      </c>
      <c r="K6" s="1" t="str">
        <f>K5</f>
        <v>S0000000000004</v>
      </c>
      <c r="L6" s="1" t="str">
        <f>L5</f>
        <v>D000000000003A</v>
      </c>
      <c r="M6" s="41">
        <v>3</v>
      </c>
      <c r="N6" s="12" t="str">
        <f>'Category 814'!R16</f>
        <v>R01</v>
      </c>
      <c r="O6" s="1" t="s">
        <v>232</v>
      </c>
      <c r="P6" s="41" t="str">
        <f>VLOOKUP(L6,Customer_File,18,FALSE)</f>
        <v>U000000002</v>
      </c>
      <c r="Q6" s="1" t="s">
        <v>182</v>
      </c>
      <c r="R6" s="1" t="str">
        <f>'Category 814'!S16</f>
        <v>R000001</v>
      </c>
      <c r="S6" s="192">
        <f>I6</f>
        <v>35982</v>
      </c>
      <c r="T6" s="192">
        <f>S6-23</f>
        <v>35959</v>
      </c>
      <c r="U6" s="71" t="str">
        <f>VLOOKUP(L6,Customer_File,12,FALSE)</f>
        <v>N</v>
      </c>
      <c r="V6" s="1">
        <v>500</v>
      </c>
      <c r="W6" s="42"/>
      <c r="X6" s="42" t="s">
        <v>216</v>
      </c>
      <c r="Y6" s="42" t="s">
        <v>216</v>
      </c>
      <c r="Z6" s="42" t="s">
        <v>216</v>
      </c>
      <c r="AA6" s="42" t="s">
        <v>216</v>
      </c>
      <c r="AB6" s="42" t="s">
        <v>216</v>
      </c>
      <c r="AC6" s="42" t="s">
        <v>216</v>
      </c>
      <c r="AD6" s="42" t="s">
        <v>216</v>
      </c>
      <c r="AE6" s="42" t="s">
        <v>216</v>
      </c>
      <c r="AF6" s="75" t="s">
        <v>216</v>
      </c>
      <c r="AG6" s="1">
        <v>99</v>
      </c>
      <c r="AH6" s="17">
        <f>VLOOKUP(L6,Customer_File,9,FALSE)</f>
        <v>16</v>
      </c>
      <c r="AI6" s="181">
        <f>S6</f>
        <v>35982</v>
      </c>
      <c r="AJ6" s="44">
        <f>SUM(AV6:BD6)</f>
        <v>14</v>
      </c>
      <c r="AK6" s="43">
        <v>0</v>
      </c>
      <c r="AL6" s="43">
        <f>SUM(AX6,AY6,BA6)</f>
        <v>0</v>
      </c>
      <c r="AM6" s="43">
        <v>0</v>
      </c>
      <c r="AN6" s="43">
        <f>SUM(AW6,AY6,AZ6,BA6)</f>
        <v>0</v>
      </c>
      <c r="AO6" s="43">
        <v>0</v>
      </c>
      <c r="AP6" s="44">
        <f>IF(VLOOKUP(L6,Customer_File,10,FALSE)="Y",SUM(AJ5:AJ6)*Tax_Rate,0)</f>
        <v>0</v>
      </c>
      <c r="AQ6" s="43">
        <f>Int_Rate*AR6</f>
        <v>0</v>
      </c>
      <c r="AR6" s="43">
        <v>0</v>
      </c>
      <c r="AS6" s="44">
        <f>SUM(AJ5:AR6)</f>
        <v>43.97</v>
      </c>
      <c r="AT6" s="81" t="s">
        <v>216</v>
      </c>
      <c r="AU6" s="112" t="str">
        <f aca="true" t="shared" si="1" ref="AU6:AU21">CONCATENATE(N6,R6)</f>
        <v>R01R000001</v>
      </c>
      <c r="AV6" s="113">
        <f>IF(ISNUMBER(V6),VLOOKUP(AU6,Rate_Table,4,FALSE)*V6,0)</f>
        <v>14</v>
      </c>
      <c r="AW6" s="113">
        <f aca="true" t="shared" si="2" ref="AW6:AW21">IF(ISNUMBER(X6),VLOOKUP(AU6,Rate_Table,5,FALSE)*VALUE(X6),0)</f>
        <v>0</v>
      </c>
      <c r="AX6" s="113">
        <f aca="true" t="shared" si="3" ref="AX6:AX21">IF(ISNUMBER(Z6),VLOOKUP(AU6,Rate_Table,6,FALSE)*Z6,0)</f>
        <v>0</v>
      </c>
      <c r="AY6" s="113">
        <f aca="true" t="shared" si="4" ref="AY6:AY21">IF(ISNUMBER(AA6),VLOOKUP(AU6,Rate_Table,7,FALSE)*AA6,0)</f>
        <v>0</v>
      </c>
      <c r="AZ6" s="113">
        <f aca="true" t="shared" si="5" ref="AZ6:AZ21">IF(ISNUMBER(Y6),VLOOKUP(AU6,Rate_Table,8,FALSE)*Y6,0)</f>
        <v>0</v>
      </c>
      <c r="BA6" s="113">
        <f aca="true" t="shared" si="6" ref="BA6:BA21">IF(ISNUMBER(AB6),VLOOKUP(AU6,Rate_Table,9,FALSE)*AB6,0)</f>
        <v>0</v>
      </c>
      <c r="BB6" s="113" t="s">
        <v>216</v>
      </c>
      <c r="BC6" s="113" t="s">
        <v>216</v>
      </c>
      <c r="BD6" s="113" t="s">
        <v>216</v>
      </c>
    </row>
    <row r="7" spans="1:56" ht="6" customHeight="1">
      <c r="A7" s="81" t="str">
        <f t="shared" si="0"/>
        <v>  </v>
      </c>
      <c r="B7" s="9" t="s">
        <v>216</v>
      </c>
      <c r="C7" s="9" t="s">
        <v>216</v>
      </c>
      <c r="D7" s="21" t="s">
        <v>216</v>
      </c>
      <c r="E7" s="9" t="s">
        <v>216</v>
      </c>
      <c r="F7" s="9" t="s">
        <v>216</v>
      </c>
      <c r="G7" s="31"/>
      <c r="H7" s="31"/>
      <c r="I7" s="182"/>
      <c r="J7" s="9" t="s">
        <v>216</v>
      </c>
      <c r="K7" s="9" t="s">
        <v>216</v>
      </c>
      <c r="L7" s="9" t="s">
        <v>216</v>
      </c>
      <c r="M7" s="79" t="s">
        <v>216</v>
      </c>
      <c r="N7" s="9" t="s">
        <v>216</v>
      </c>
      <c r="O7" s="9" t="s">
        <v>216</v>
      </c>
      <c r="P7" s="9" t="s">
        <v>216</v>
      </c>
      <c r="Q7" s="9" t="s">
        <v>216</v>
      </c>
      <c r="R7" s="9" t="s">
        <v>216</v>
      </c>
      <c r="S7" s="193" t="s">
        <v>216</v>
      </c>
      <c r="T7" s="193" t="s">
        <v>216</v>
      </c>
      <c r="U7" s="9" t="s">
        <v>216</v>
      </c>
      <c r="V7" s="9" t="s">
        <v>216</v>
      </c>
      <c r="W7" s="9"/>
      <c r="X7" s="9" t="s">
        <v>216</v>
      </c>
      <c r="Y7" s="9" t="s">
        <v>216</v>
      </c>
      <c r="Z7" s="9" t="s">
        <v>216</v>
      </c>
      <c r="AA7" s="9" t="s">
        <v>216</v>
      </c>
      <c r="AB7" s="9" t="s">
        <v>216</v>
      </c>
      <c r="AC7" s="9" t="s">
        <v>216</v>
      </c>
      <c r="AD7" s="9" t="s">
        <v>216</v>
      </c>
      <c r="AE7" s="9" t="s">
        <v>216</v>
      </c>
      <c r="AF7" s="76" t="s">
        <v>216</v>
      </c>
      <c r="AG7" s="9" t="s">
        <v>216</v>
      </c>
      <c r="AH7" s="9" t="s">
        <v>216</v>
      </c>
      <c r="AI7" s="182" t="s">
        <v>216</v>
      </c>
      <c r="AJ7" s="67" t="s">
        <v>216</v>
      </c>
      <c r="AK7" s="67" t="s">
        <v>216</v>
      </c>
      <c r="AL7" s="67" t="s">
        <v>216</v>
      </c>
      <c r="AM7" s="67" t="s">
        <v>216</v>
      </c>
      <c r="AN7" s="67" t="s">
        <v>216</v>
      </c>
      <c r="AO7" s="67" t="s">
        <v>216</v>
      </c>
      <c r="AP7" s="67" t="s">
        <v>216</v>
      </c>
      <c r="AQ7" s="67" t="s">
        <v>216</v>
      </c>
      <c r="AR7" s="67" t="s">
        <v>216</v>
      </c>
      <c r="AS7" s="67" t="s">
        <v>216</v>
      </c>
      <c r="AT7" s="81" t="s">
        <v>216</v>
      </c>
      <c r="AU7" s="112" t="str">
        <f t="shared" si="1"/>
        <v>  </v>
      </c>
      <c r="AV7" s="113">
        <f aca="true" t="shared" si="7" ref="AV7:AV22">IF(ISNUMBER(V7),VLOOKUP(AU7,Rate_Table,4,FALSE)*V7,0)</f>
        <v>0</v>
      </c>
      <c r="AW7" s="113">
        <f t="shared" si="2"/>
        <v>0</v>
      </c>
      <c r="AX7" s="113">
        <f t="shared" si="3"/>
        <v>0</v>
      </c>
      <c r="AY7" s="113">
        <f t="shared" si="4"/>
        <v>0</v>
      </c>
      <c r="AZ7" s="113">
        <f t="shared" si="5"/>
        <v>0</v>
      </c>
      <c r="BA7" s="113">
        <f t="shared" si="6"/>
        <v>0</v>
      </c>
      <c r="BB7" s="113" t="s">
        <v>216</v>
      </c>
      <c r="BC7" s="113" t="s">
        <v>216</v>
      </c>
      <c r="BD7" s="113" t="s">
        <v>216</v>
      </c>
    </row>
    <row r="8" spans="1:56" ht="11.25">
      <c r="A8" s="81" t="str">
        <f t="shared" si="0"/>
        <v>2B13</v>
      </c>
      <c r="B8" s="1" t="s">
        <v>50</v>
      </c>
      <c r="C8" s="1">
        <v>13</v>
      </c>
      <c r="D8" s="40">
        <v>10</v>
      </c>
      <c r="E8" s="1" t="s">
        <v>540</v>
      </c>
      <c r="F8" s="9" t="s">
        <v>216</v>
      </c>
      <c r="G8" s="15" t="str">
        <f>'LDC Account Table'!$B$2</f>
        <v>LDCDUNS##</v>
      </c>
      <c r="H8" s="15" t="str">
        <f>'Supplier Account Table'!$B$2</f>
        <v>SUPDUNS##</v>
      </c>
      <c r="I8" s="179">
        <f>VLOOKUP(B8,File_Dates,2,FALSE)</f>
        <v>35982</v>
      </c>
      <c r="J8" s="42" t="s">
        <v>538</v>
      </c>
      <c r="K8" s="1" t="str">
        <f>'Category 814'!L45</f>
        <v>S0000000000002</v>
      </c>
      <c r="L8" s="1" t="str">
        <f>'Category 814'!M45</f>
        <v>D000000000002A</v>
      </c>
      <c r="M8" s="41">
        <v>3</v>
      </c>
      <c r="N8" s="42" t="s">
        <v>216</v>
      </c>
      <c r="O8" s="71" t="str">
        <f>VLOOKUP(L8,Customer_File,11,FALSE)</f>
        <v>E</v>
      </c>
      <c r="P8" s="12" t="s">
        <v>455</v>
      </c>
      <c r="Q8" s="1" t="s">
        <v>426</v>
      </c>
      <c r="R8" s="42" t="s">
        <v>216</v>
      </c>
      <c r="S8" s="192">
        <f>I8</f>
        <v>35982</v>
      </c>
      <c r="T8" s="192">
        <v>35969</v>
      </c>
      <c r="U8" s="71" t="str">
        <f>VLOOKUP(L8,Customer_File,12,FALSE)</f>
        <v>N</v>
      </c>
      <c r="V8" s="1">
        <v>999</v>
      </c>
      <c r="W8" s="42"/>
      <c r="X8" s="42" t="s">
        <v>216</v>
      </c>
      <c r="Y8" s="42" t="s">
        <v>216</v>
      </c>
      <c r="Z8" s="42" t="s">
        <v>216</v>
      </c>
      <c r="AA8" s="42" t="s">
        <v>216</v>
      </c>
      <c r="AB8" s="42" t="s">
        <v>216</v>
      </c>
      <c r="AC8" s="42" t="s">
        <v>216</v>
      </c>
      <c r="AD8" s="42" t="s">
        <v>216</v>
      </c>
      <c r="AE8" s="42" t="s">
        <v>216</v>
      </c>
      <c r="AF8" s="75" t="s">
        <v>216</v>
      </c>
      <c r="AG8" s="42" t="s">
        <v>216</v>
      </c>
      <c r="AH8" s="16" t="s">
        <v>216</v>
      </c>
      <c r="AI8" s="180" t="s">
        <v>216</v>
      </c>
      <c r="AJ8" s="68" t="s">
        <v>216</v>
      </c>
      <c r="AK8" s="68" t="s">
        <v>216</v>
      </c>
      <c r="AL8" s="68" t="s">
        <v>216</v>
      </c>
      <c r="AM8" s="68" t="s">
        <v>216</v>
      </c>
      <c r="AN8" s="68" t="s">
        <v>216</v>
      </c>
      <c r="AO8" s="68" t="s">
        <v>216</v>
      </c>
      <c r="AP8" s="68" t="s">
        <v>216</v>
      </c>
      <c r="AQ8" s="68" t="s">
        <v>216</v>
      </c>
      <c r="AR8" s="68" t="s">
        <v>216</v>
      </c>
      <c r="AS8" s="68" t="s">
        <v>216</v>
      </c>
      <c r="AT8" s="81" t="s">
        <v>216</v>
      </c>
      <c r="AU8" s="112" t="str">
        <f t="shared" si="1"/>
        <v>  </v>
      </c>
      <c r="AV8" s="113" t="e">
        <f t="shared" si="7"/>
        <v>#N/A</v>
      </c>
      <c r="AW8" s="113">
        <f t="shared" si="2"/>
        <v>0</v>
      </c>
      <c r="AX8" s="113">
        <f t="shared" si="3"/>
        <v>0</v>
      </c>
      <c r="AY8" s="113">
        <f t="shared" si="4"/>
        <v>0</v>
      </c>
      <c r="AZ8" s="113">
        <f t="shared" si="5"/>
        <v>0</v>
      </c>
      <c r="BA8" s="113">
        <f t="shared" si="6"/>
        <v>0</v>
      </c>
      <c r="BB8" s="113" t="s">
        <v>216</v>
      </c>
      <c r="BC8" s="113" t="s">
        <v>216</v>
      </c>
      <c r="BD8" s="113" t="s">
        <v>216</v>
      </c>
    </row>
    <row r="9" spans="1:56" ht="6" customHeight="1">
      <c r="A9" s="81" t="str">
        <f t="shared" si="0"/>
        <v>  </v>
      </c>
      <c r="B9" s="9" t="s">
        <v>216</v>
      </c>
      <c r="C9" s="9" t="s">
        <v>216</v>
      </c>
      <c r="D9" s="21" t="s">
        <v>216</v>
      </c>
      <c r="E9" s="9" t="s">
        <v>216</v>
      </c>
      <c r="F9" s="9" t="s">
        <v>216</v>
      </c>
      <c r="G9" s="31"/>
      <c r="H9" s="31"/>
      <c r="I9" s="182"/>
      <c r="J9" s="9" t="s">
        <v>216</v>
      </c>
      <c r="K9" s="9" t="s">
        <v>216</v>
      </c>
      <c r="L9" s="9" t="s">
        <v>216</v>
      </c>
      <c r="M9" s="79" t="s">
        <v>216</v>
      </c>
      <c r="N9" s="9" t="s">
        <v>216</v>
      </c>
      <c r="O9" s="9" t="s">
        <v>216</v>
      </c>
      <c r="P9" s="9" t="s">
        <v>216</v>
      </c>
      <c r="Q9" s="9" t="s">
        <v>216</v>
      </c>
      <c r="R9" s="9" t="s">
        <v>216</v>
      </c>
      <c r="S9" s="193" t="s">
        <v>216</v>
      </c>
      <c r="T9" s="193" t="s">
        <v>216</v>
      </c>
      <c r="U9" s="9" t="s">
        <v>216</v>
      </c>
      <c r="V9" s="9" t="s">
        <v>216</v>
      </c>
      <c r="W9" s="9"/>
      <c r="X9" s="9" t="s">
        <v>216</v>
      </c>
      <c r="Y9" s="9" t="s">
        <v>216</v>
      </c>
      <c r="Z9" s="9" t="s">
        <v>216</v>
      </c>
      <c r="AA9" s="9" t="s">
        <v>216</v>
      </c>
      <c r="AB9" s="9" t="s">
        <v>216</v>
      </c>
      <c r="AC9" s="9" t="s">
        <v>216</v>
      </c>
      <c r="AD9" s="9" t="s">
        <v>216</v>
      </c>
      <c r="AE9" s="9" t="s">
        <v>216</v>
      </c>
      <c r="AF9" s="76" t="s">
        <v>216</v>
      </c>
      <c r="AG9" s="9" t="s">
        <v>216</v>
      </c>
      <c r="AH9" s="9" t="s">
        <v>216</v>
      </c>
      <c r="AI9" s="182" t="s">
        <v>216</v>
      </c>
      <c r="AJ9" s="67" t="s">
        <v>216</v>
      </c>
      <c r="AK9" s="67" t="s">
        <v>216</v>
      </c>
      <c r="AL9" s="67" t="s">
        <v>216</v>
      </c>
      <c r="AM9" s="67" t="s">
        <v>216</v>
      </c>
      <c r="AN9" s="67" t="s">
        <v>216</v>
      </c>
      <c r="AO9" s="67" t="s">
        <v>216</v>
      </c>
      <c r="AP9" s="67" t="s">
        <v>216</v>
      </c>
      <c r="AQ9" s="67" t="s">
        <v>216</v>
      </c>
      <c r="AR9" s="67" t="s">
        <v>216</v>
      </c>
      <c r="AS9" s="67" t="s">
        <v>216</v>
      </c>
      <c r="AT9" s="81" t="s">
        <v>216</v>
      </c>
      <c r="AU9" s="112" t="str">
        <f t="shared" si="1"/>
        <v>  </v>
      </c>
      <c r="AV9" s="113">
        <f t="shared" si="7"/>
        <v>0</v>
      </c>
      <c r="AW9" s="113">
        <f t="shared" si="2"/>
        <v>0</v>
      </c>
      <c r="AX9" s="113">
        <f t="shared" si="3"/>
        <v>0</v>
      </c>
      <c r="AY9" s="113">
        <f t="shared" si="4"/>
        <v>0</v>
      </c>
      <c r="AZ9" s="113">
        <f t="shared" si="5"/>
        <v>0</v>
      </c>
      <c r="BA9" s="113">
        <f t="shared" si="6"/>
        <v>0</v>
      </c>
      <c r="BB9" s="113" t="s">
        <v>216</v>
      </c>
      <c r="BC9" s="113" t="s">
        <v>216</v>
      </c>
      <c r="BD9" s="113" t="s">
        <v>216</v>
      </c>
    </row>
    <row r="10" spans="1:56" ht="11.25">
      <c r="A10" s="81" t="str">
        <f t="shared" si="0"/>
        <v>3B1</v>
      </c>
      <c r="B10" s="1" t="s">
        <v>334</v>
      </c>
      <c r="C10" s="1">
        <v>1</v>
      </c>
      <c r="D10" s="126">
        <v>10</v>
      </c>
      <c r="E10" s="1" t="s">
        <v>541</v>
      </c>
      <c r="F10" s="9" t="s">
        <v>216</v>
      </c>
      <c r="G10" s="15" t="str">
        <f>'LDC Account Table'!$B$2</f>
        <v>LDCDUNS##</v>
      </c>
      <c r="H10" s="15" t="str">
        <f>'Supplier Account Table'!$B$2</f>
        <v>SUPDUNS##</v>
      </c>
      <c r="I10" s="179">
        <f aca="true" t="shared" si="8" ref="I10:I25">VLOOKUP(B10,File_Dates,2,FALSE)</f>
        <v>36013</v>
      </c>
      <c r="J10" s="42" t="s">
        <v>538</v>
      </c>
      <c r="K10" s="8" t="str">
        <f>'Category 814'!L57</f>
        <v>S0000000000009</v>
      </c>
      <c r="L10" s="8" t="str">
        <f>'Category 814'!M57</f>
        <v>D0000000000009</v>
      </c>
      <c r="M10" s="41">
        <v>0</v>
      </c>
      <c r="N10" s="42" t="s">
        <v>216</v>
      </c>
      <c r="O10" s="71" t="str">
        <f>VLOOKUP(L10,Customer_File,11,FALSE)</f>
        <v>E</v>
      </c>
      <c r="P10" s="1" t="str">
        <f>VLOOKUP(L10,Customer_File,14,FALSE)</f>
        <v>M000000015</v>
      </c>
      <c r="Q10" s="1" t="str">
        <f>VLOOKUP(CONCATENATE(LEFT(E10,6),"01 from supplier"),'Category 814'!$E$5:$S$83,12,FALSE)</f>
        <v>P</v>
      </c>
      <c r="R10" s="42" t="s">
        <v>216</v>
      </c>
      <c r="S10" s="192">
        <f>VLOOKUP(VLOOKUP(L10,Customer_File,9,FALSE),August,2,FALSE)</f>
        <v>36013</v>
      </c>
      <c r="T10" s="192">
        <f>S10-30</f>
        <v>35983</v>
      </c>
      <c r="U10" s="71" t="str">
        <f>VLOOKUP(L10,Customer_File,12,FALSE)</f>
        <v>N</v>
      </c>
      <c r="V10" s="71">
        <v>350</v>
      </c>
      <c r="W10" s="42"/>
      <c r="X10" s="42" t="s">
        <v>216</v>
      </c>
      <c r="Y10" s="42" t="s">
        <v>216</v>
      </c>
      <c r="Z10" s="42" t="s">
        <v>216</v>
      </c>
      <c r="AA10" s="42" t="s">
        <v>216</v>
      </c>
      <c r="AB10" s="42" t="s">
        <v>216</v>
      </c>
      <c r="AC10" s="42" t="s">
        <v>216</v>
      </c>
      <c r="AD10" s="42" t="s">
        <v>216</v>
      </c>
      <c r="AE10" s="42" t="s">
        <v>216</v>
      </c>
      <c r="AF10" s="75" t="s">
        <v>216</v>
      </c>
      <c r="AG10" s="42" t="s">
        <v>216</v>
      </c>
      <c r="AH10" s="153" t="s">
        <v>216</v>
      </c>
      <c r="AI10" s="180" t="s">
        <v>216</v>
      </c>
      <c r="AJ10" s="68" t="s">
        <v>216</v>
      </c>
      <c r="AK10" s="68" t="s">
        <v>216</v>
      </c>
      <c r="AL10" s="68" t="s">
        <v>216</v>
      </c>
      <c r="AM10" s="68" t="s">
        <v>216</v>
      </c>
      <c r="AN10" s="68" t="s">
        <v>216</v>
      </c>
      <c r="AO10" s="68" t="s">
        <v>216</v>
      </c>
      <c r="AP10" s="68" t="s">
        <v>216</v>
      </c>
      <c r="AQ10" s="68" t="s">
        <v>216</v>
      </c>
      <c r="AR10" s="68" t="s">
        <v>216</v>
      </c>
      <c r="AS10" s="68" t="s">
        <v>216</v>
      </c>
      <c r="AT10" s="81" t="s">
        <v>216</v>
      </c>
      <c r="AU10" s="112" t="str">
        <f t="shared" si="1"/>
        <v>  </v>
      </c>
      <c r="AV10" s="113" t="e">
        <f t="shared" si="7"/>
        <v>#N/A</v>
      </c>
      <c r="AW10" s="113">
        <f t="shared" si="2"/>
        <v>0</v>
      </c>
      <c r="AX10" s="113">
        <f t="shared" si="3"/>
        <v>0</v>
      </c>
      <c r="AY10" s="113">
        <f t="shared" si="4"/>
        <v>0</v>
      </c>
      <c r="AZ10" s="113">
        <f t="shared" si="5"/>
        <v>0</v>
      </c>
      <c r="BA10" s="113">
        <f t="shared" si="6"/>
        <v>0</v>
      </c>
      <c r="BB10" s="113" t="s">
        <v>216</v>
      </c>
      <c r="BC10" s="113" t="s">
        <v>216</v>
      </c>
      <c r="BD10" s="113" t="s">
        <v>216</v>
      </c>
    </row>
    <row r="11" spans="1:56" ht="11.25">
      <c r="A11" s="81" t="str">
        <f t="shared" si="0"/>
        <v>3B2</v>
      </c>
      <c r="B11" s="1" t="s">
        <v>334</v>
      </c>
      <c r="C11" s="1">
        <v>2</v>
      </c>
      <c r="D11" s="126">
        <v>10</v>
      </c>
      <c r="E11" s="71" t="s">
        <v>542</v>
      </c>
      <c r="F11" s="9" t="s">
        <v>216</v>
      </c>
      <c r="G11" s="15" t="str">
        <f>'LDC Account Table'!$B$2</f>
        <v>LDCDUNS##</v>
      </c>
      <c r="H11" s="15" t="str">
        <f>'Supplier Account Table'!$B$2</f>
        <v>SUPDUNS##</v>
      </c>
      <c r="I11" s="179">
        <f t="shared" si="8"/>
        <v>36013</v>
      </c>
      <c r="J11" s="42" t="s">
        <v>538</v>
      </c>
      <c r="K11" s="39" t="str">
        <f>'Category 814'!L59</f>
        <v>S0000000000010</v>
      </c>
      <c r="L11" s="39" t="str">
        <f>'Category 814'!M59</f>
        <v>D0000000000010</v>
      </c>
      <c r="M11" s="80">
        <v>0</v>
      </c>
      <c r="N11" s="42" t="s">
        <v>216</v>
      </c>
      <c r="O11" s="71" t="str">
        <f>VLOOKUP(L11,Customer_File,11,FALSE)</f>
        <v>D</v>
      </c>
      <c r="P11" s="1" t="str">
        <f>VLOOKUP(L11,Customer_File,14,FALSE)</f>
        <v>M000000017</v>
      </c>
      <c r="Q11" s="71" t="str">
        <f>VLOOKUP(CONCATENATE(LEFT(E11,6),"01 from supplier"),'Category 814'!$E$5:$S$83,12,FALSE)</f>
        <v>P</v>
      </c>
      <c r="R11" s="42" t="s">
        <v>216</v>
      </c>
      <c r="S11" s="192">
        <f>VLOOKUP(VLOOKUP(L11,Customer_File,9,FALSE),August,2,FALSE)</f>
        <v>36013</v>
      </c>
      <c r="T11" s="194">
        <f aca="true" t="shared" si="9" ref="T11:T23">S11-30</f>
        <v>35983</v>
      </c>
      <c r="U11" s="71" t="str">
        <f aca="true" t="shared" si="10" ref="U11:U25">VLOOKUP(L11,Customer_File,12,FALSE)</f>
        <v>N</v>
      </c>
      <c r="V11" s="71">
        <v>1200</v>
      </c>
      <c r="W11" s="42"/>
      <c r="X11" s="71">
        <v>6.3</v>
      </c>
      <c r="Y11" s="42" t="s">
        <v>216</v>
      </c>
      <c r="Z11" s="42" t="s">
        <v>216</v>
      </c>
      <c r="AA11" s="42" t="s">
        <v>216</v>
      </c>
      <c r="AB11" s="42" t="s">
        <v>216</v>
      </c>
      <c r="AC11" s="42" t="s">
        <v>216</v>
      </c>
      <c r="AD11" s="42" t="s">
        <v>216</v>
      </c>
      <c r="AE11" s="42" t="s">
        <v>216</v>
      </c>
      <c r="AF11" s="75" t="s">
        <v>216</v>
      </c>
      <c r="AG11" s="42" t="s">
        <v>216</v>
      </c>
      <c r="AH11" s="153" t="s">
        <v>216</v>
      </c>
      <c r="AI11" s="180" t="s">
        <v>216</v>
      </c>
      <c r="AJ11" s="68" t="s">
        <v>216</v>
      </c>
      <c r="AK11" s="68" t="s">
        <v>216</v>
      </c>
      <c r="AL11" s="68" t="s">
        <v>216</v>
      </c>
      <c r="AM11" s="68" t="s">
        <v>216</v>
      </c>
      <c r="AN11" s="68" t="s">
        <v>216</v>
      </c>
      <c r="AO11" s="68" t="s">
        <v>216</v>
      </c>
      <c r="AP11" s="68" t="s">
        <v>216</v>
      </c>
      <c r="AQ11" s="68" t="s">
        <v>216</v>
      </c>
      <c r="AR11" s="68" t="s">
        <v>216</v>
      </c>
      <c r="AS11" s="68" t="s">
        <v>216</v>
      </c>
      <c r="AT11" s="81" t="s">
        <v>216</v>
      </c>
      <c r="AU11" s="112" t="str">
        <f t="shared" si="1"/>
        <v>  </v>
      </c>
      <c r="AV11" s="113" t="e">
        <f t="shared" si="7"/>
        <v>#N/A</v>
      </c>
      <c r="AW11" s="113" t="e">
        <f t="shared" si="2"/>
        <v>#N/A</v>
      </c>
      <c r="AX11" s="113">
        <f t="shared" si="3"/>
        <v>0</v>
      </c>
      <c r="AY11" s="113">
        <f t="shared" si="4"/>
        <v>0</v>
      </c>
      <c r="AZ11" s="113">
        <f t="shared" si="5"/>
        <v>0</v>
      </c>
      <c r="BA11" s="113">
        <f t="shared" si="6"/>
        <v>0</v>
      </c>
      <c r="BB11" s="113" t="s">
        <v>216</v>
      </c>
      <c r="BC11" s="113" t="s">
        <v>216</v>
      </c>
      <c r="BD11" s="113" t="s">
        <v>216</v>
      </c>
    </row>
    <row r="12" spans="1:56" ht="11.25">
      <c r="A12" s="81" t="str">
        <f t="shared" si="0"/>
        <v>3B3</v>
      </c>
      <c r="B12" s="1" t="s">
        <v>334</v>
      </c>
      <c r="C12" s="1">
        <v>3</v>
      </c>
      <c r="D12" s="126">
        <v>10</v>
      </c>
      <c r="E12" s="71" t="s">
        <v>543</v>
      </c>
      <c r="F12" s="9" t="s">
        <v>216</v>
      </c>
      <c r="G12" s="15" t="str">
        <f>'LDC Account Table'!$B$2</f>
        <v>LDCDUNS##</v>
      </c>
      <c r="H12" s="15" t="str">
        <f>'Supplier Account Table'!$B$2</f>
        <v>SUPDUNS##</v>
      </c>
      <c r="I12" s="179">
        <f t="shared" si="8"/>
        <v>36013</v>
      </c>
      <c r="J12" s="42" t="s">
        <v>538</v>
      </c>
      <c r="K12" s="39" t="str">
        <f>'Category 814'!L60</f>
        <v>S0000000000010</v>
      </c>
      <c r="L12" s="39" t="str">
        <f>'Category 814'!M60</f>
        <v>D0000000000010</v>
      </c>
      <c r="M12" s="80">
        <v>0</v>
      </c>
      <c r="N12" s="42" t="s">
        <v>216</v>
      </c>
      <c r="O12" s="71" t="str">
        <f>VLOOKUP(L12,Customer_File,15,FALSE)</f>
        <v>D</v>
      </c>
      <c r="P12" s="1" t="str">
        <f>VLOOKUP(L12,Customer_File,18,FALSE)</f>
        <v>M000000018</v>
      </c>
      <c r="Q12" s="71" t="str">
        <f>VLOOKUP(CONCATENATE(LEFT(E12,6),"01 from supplier"),'Category 814'!$E$5:$S$83,12,FALSE)</f>
        <v>P</v>
      </c>
      <c r="R12" s="42" t="s">
        <v>216</v>
      </c>
      <c r="S12" s="192">
        <f>VLOOKUP(VLOOKUP(L12,Customer_File,9,FALSE),August,2,FALSE)</f>
        <v>36013</v>
      </c>
      <c r="T12" s="194">
        <f t="shared" si="9"/>
        <v>35983</v>
      </c>
      <c r="U12" s="71" t="str">
        <f t="shared" si="10"/>
        <v>N</v>
      </c>
      <c r="V12" s="71">
        <v>400</v>
      </c>
      <c r="W12" s="42"/>
      <c r="X12" s="71">
        <v>2.1</v>
      </c>
      <c r="Y12" s="42" t="s">
        <v>216</v>
      </c>
      <c r="Z12" s="42" t="s">
        <v>216</v>
      </c>
      <c r="AA12" s="42" t="s">
        <v>216</v>
      </c>
      <c r="AB12" s="42" t="s">
        <v>216</v>
      </c>
      <c r="AC12" s="42" t="s">
        <v>216</v>
      </c>
      <c r="AD12" s="42" t="s">
        <v>216</v>
      </c>
      <c r="AE12" s="42" t="s">
        <v>216</v>
      </c>
      <c r="AF12" s="75" t="s">
        <v>216</v>
      </c>
      <c r="AG12" s="42" t="s">
        <v>216</v>
      </c>
      <c r="AH12" s="153" t="s">
        <v>216</v>
      </c>
      <c r="AI12" s="180" t="s">
        <v>216</v>
      </c>
      <c r="AJ12" s="68" t="s">
        <v>216</v>
      </c>
      <c r="AK12" s="68" t="s">
        <v>216</v>
      </c>
      <c r="AL12" s="68" t="s">
        <v>216</v>
      </c>
      <c r="AM12" s="68" t="s">
        <v>216</v>
      </c>
      <c r="AN12" s="68" t="s">
        <v>216</v>
      </c>
      <c r="AO12" s="68" t="s">
        <v>216</v>
      </c>
      <c r="AP12" s="68" t="s">
        <v>216</v>
      </c>
      <c r="AQ12" s="68" t="s">
        <v>216</v>
      </c>
      <c r="AR12" s="68" t="s">
        <v>216</v>
      </c>
      <c r="AS12" s="68" t="s">
        <v>216</v>
      </c>
      <c r="AT12" s="81" t="s">
        <v>216</v>
      </c>
      <c r="AU12" s="112" t="str">
        <f t="shared" si="1"/>
        <v>  </v>
      </c>
      <c r="AV12" s="113" t="e">
        <f t="shared" si="7"/>
        <v>#N/A</v>
      </c>
      <c r="AW12" s="113" t="e">
        <f t="shared" si="2"/>
        <v>#N/A</v>
      </c>
      <c r="AX12" s="113">
        <f t="shared" si="3"/>
        <v>0</v>
      </c>
      <c r="AY12" s="113">
        <f t="shared" si="4"/>
        <v>0</v>
      </c>
      <c r="AZ12" s="113">
        <f t="shared" si="5"/>
        <v>0</v>
      </c>
      <c r="BA12" s="113">
        <f t="shared" si="6"/>
        <v>0</v>
      </c>
      <c r="BB12" s="113" t="s">
        <v>216</v>
      </c>
      <c r="BC12" s="113" t="s">
        <v>216</v>
      </c>
      <c r="BD12" s="113" t="s">
        <v>216</v>
      </c>
    </row>
    <row r="13" spans="1:56" ht="11.25">
      <c r="A13" s="81" t="str">
        <f t="shared" si="0"/>
        <v>3B4</v>
      </c>
      <c r="B13" s="1" t="s">
        <v>334</v>
      </c>
      <c r="C13" s="1">
        <v>4</v>
      </c>
      <c r="D13" s="126">
        <v>11</v>
      </c>
      <c r="E13" s="71" t="s">
        <v>544</v>
      </c>
      <c r="F13" s="9" t="s">
        <v>216</v>
      </c>
      <c r="G13" s="15" t="str">
        <f>'LDC Account Table'!$B$2</f>
        <v>LDCDUNS##</v>
      </c>
      <c r="H13" s="15" t="str">
        <f>'Supplier Account Table'!$B$2</f>
        <v>SUPDUNS##</v>
      </c>
      <c r="I13" s="179">
        <f t="shared" si="8"/>
        <v>36013</v>
      </c>
      <c r="J13" s="42" t="s">
        <v>538</v>
      </c>
      <c r="K13" s="39" t="str">
        <f>'Category 814'!L62</f>
        <v>S0000000000011</v>
      </c>
      <c r="L13" s="39" t="str">
        <f>'Category 814'!M62</f>
        <v>D0000000000011</v>
      </c>
      <c r="M13" s="80">
        <v>0</v>
      </c>
      <c r="N13" s="1" t="str">
        <f>VLOOKUP(CONCATENATE(LEFT(E13,6),"01 from supplier"),'Category 814'!$E$5:$S$83,14,FALSE)</f>
        <v>R01</v>
      </c>
      <c r="O13" s="71" t="str">
        <f>VLOOKUP(L13,Customer_File,11,FALSE)</f>
        <v>E</v>
      </c>
      <c r="P13" s="1" t="str">
        <f>VLOOKUP(L13,Customer_File,14,FALSE)</f>
        <v>M000000019</v>
      </c>
      <c r="Q13" s="71" t="str">
        <f>VLOOKUP(CONCATENATE(LEFT(E13,6),"01 from supplier"),'Category 814'!$E$5:$S$83,12,FALSE)</f>
        <v>C</v>
      </c>
      <c r="R13" s="1" t="str">
        <f>VLOOKUP(CONCATENATE(LEFT($E13,6),"01 from supplier"),'Category 814'!$E$5:$S$83,15,FALSE)</f>
        <v>R000001</v>
      </c>
      <c r="S13" s="192">
        <f aca="true" t="shared" si="11" ref="S13:S23">VLOOKUP(AH13,August,2,FALSE)</f>
        <v>36013</v>
      </c>
      <c r="T13" s="194">
        <f t="shared" si="9"/>
        <v>35983</v>
      </c>
      <c r="U13" s="71" t="str">
        <f t="shared" si="10"/>
        <v>N</v>
      </c>
      <c r="V13" s="71">
        <v>600</v>
      </c>
      <c r="W13" s="42"/>
      <c r="X13" s="42" t="s">
        <v>216</v>
      </c>
      <c r="Y13" s="42" t="s">
        <v>216</v>
      </c>
      <c r="Z13" s="42" t="s">
        <v>216</v>
      </c>
      <c r="AA13" s="42" t="s">
        <v>216</v>
      </c>
      <c r="AB13" s="42" t="s">
        <v>216</v>
      </c>
      <c r="AC13" s="42" t="s">
        <v>216</v>
      </c>
      <c r="AD13" s="42" t="s">
        <v>216</v>
      </c>
      <c r="AE13" s="42" t="s">
        <v>216</v>
      </c>
      <c r="AF13" s="75" t="s">
        <v>216</v>
      </c>
      <c r="AG13" s="42" t="s">
        <v>216</v>
      </c>
      <c r="AH13" s="80">
        <f aca="true" t="shared" si="12" ref="AH13:AH25">VLOOKUP(L13,Customer_File,9,FALSE)</f>
        <v>6</v>
      </c>
      <c r="AI13" s="179">
        <f aca="true" t="shared" si="13" ref="AI13:AI25">S13</f>
        <v>36013</v>
      </c>
      <c r="AJ13" s="44">
        <f>SUM(AV13:BD13)</f>
        <v>16.8</v>
      </c>
      <c r="AK13" s="43">
        <v>0</v>
      </c>
      <c r="AL13" s="43">
        <f>SUM(AX13,AY13,BA13)</f>
        <v>0</v>
      </c>
      <c r="AM13" s="43">
        <v>0</v>
      </c>
      <c r="AN13" s="43">
        <f>SUM(AW13,AY13,AZ13,BA13)</f>
        <v>0</v>
      </c>
      <c r="AO13" s="43">
        <v>0</v>
      </c>
      <c r="AP13" s="44">
        <f>IF(VLOOKUP(L13,Customer_File,10,FALSE)="Y",AJ13*Tax_Rate,0)</f>
        <v>0</v>
      </c>
      <c r="AQ13" s="43">
        <f>Int_Rate*AR13</f>
        <v>0</v>
      </c>
      <c r="AR13" s="44">
        <v>0</v>
      </c>
      <c r="AS13" s="44">
        <f>SUM(AJ13:AR13)</f>
        <v>16.8</v>
      </c>
      <c r="AT13" s="81" t="s">
        <v>216</v>
      </c>
      <c r="AU13" s="112" t="str">
        <f t="shared" si="1"/>
        <v>R01R000001</v>
      </c>
      <c r="AV13" s="113">
        <f t="shared" si="7"/>
        <v>16.8</v>
      </c>
      <c r="AW13" s="113">
        <f t="shared" si="2"/>
        <v>0</v>
      </c>
      <c r="AX13" s="113">
        <f t="shared" si="3"/>
        <v>0</v>
      </c>
      <c r="AY13" s="113">
        <f t="shared" si="4"/>
        <v>0</v>
      </c>
      <c r="AZ13" s="113">
        <f t="shared" si="5"/>
        <v>0</v>
      </c>
      <c r="BA13" s="113">
        <f t="shared" si="6"/>
        <v>0</v>
      </c>
      <c r="BB13" s="113" t="s">
        <v>216</v>
      </c>
      <c r="BC13" s="113" t="s">
        <v>216</v>
      </c>
      <c r="BD13" s="113" t="s">
        <v>216</v>
      </c>
    </row>
    <row r="14" spans="1:56" ht="11.25">
      <c r="A14" s="81" t="str">
        <f t="shared" si="0"/>
        <v>3B5</v>
      </c>
      <c r="B14" s="1" t="s">
        <v>334</v>
      </c>
      <c r="C14" s="1">
        <v>5</v>
      </c>
      <c r="D14" s="126">
        <v>11</v>
      </c>
      <c r="E14" s="71" t="s">
        <v>545</v>
      </c>
      <c r="F14" s="9" t="s">
        <v>216</v>
      </c>
      <c r="G14" s="15" t="str">
        <f>'LDC Account Table'!$B$2</f>
        <v>LDCDUNS##</v>
      </c>
      <c r="H14" s="15" t="str">
        <f>'Supplier Account Table'!$B$2</f>
        <v>SUPDUNS##</v>
      </c>
      <c r="I14" s="179">
        <f t="shared" si="8"/>
        <v>36013</v>
      </c>
      <c r="J14" s="42" t="s">
        <v>538</v>
      </c>
      <c r="K14" s="39" t="str">
        <f>'Category 814'!L64</f>
        <v>S0000000000012</v>
      </c>
      <c r="L14" s="39" t="str">
        <f>'Category 814'!M64</f>
        <v>D0000000000012</v>
      </c>
      <c r="M14" s="80">
        <v>0</v>
      </c>
      <c r="N14" s="1" t="str">
        <f>VLOOKUP(CONCATENATE(LEFT(E14,6),"01 from supplier"),'Category 814'!$E$5:$S$83,14,FALSE)</f>
        <v>G00</v>
      </c>
      <c r="O14" s="71" t="str">
        <f>VLOOKUP(L14,Customer_File,11,FALSE)</f>
        <v>D</v>
      </c>
      <c r="P14" s="1" t="str">
        <f>VLOOKUP(L14,Customer_File,14,FALSE)</f>
        <v>M000000021</v>
      </c>
      <c r="Q14" s="71" t="str">
        <f>VLOOKUP(CONCATENATE(LEFT(E14,6),"01 from supplier"),'Category 814'!$E$5:$S$83,12,FALSE)</f>
        <v>C</v>
      </c>
      <c r="R14" s="1" t="str">
        <f>VLOOKUP(CONCATENATE(LEFT($E14,6),"01 from supplier"),'Category 814'!$E$5:$S$83,15,FALSE)</f>
        <v>G000001</v>
      </c>
      <c r="S14" s="192">
        <f t="shared" si="11"/>
        <v>36013</v>
      </c>
      <c r="T14" s="194">
        <f t="shared" si="9"/>
        <v>35983</v>
      </c>
      <c r="U14" s="71" t="str">
        <f t="shared" si="10"/>
        <v>N</v>
      </c>
      <c r="V14" s="71">
        <v>1000</v>
      </c>
      <c r="W14" s="42"/>
      <c r="X14" s="71">
        <v>12.5</v>
      </c>
      <c r="Y14" s="42" t="s">
        <v>216</v>
      </c>
      <c r="Z14" s="42" t="s">
        <v>216</v>
      </c>
      <c r="AA14" s="42" t="s">
        <v>216</v>
      </c>
      <c r="AB14" s="42" t="s">
        <v>216</v>
      </c>
      <c r="AC14" s="42" t="s">
        <v>216</v>
      </c>
      <c r="AD14" s="42" t="s">
        <v>216</v>
      </c>
      <c r="AE14" s="42" t="s">
        <v>216</v>
      </c>
      <c r="AF14" s="77">
        <v>15</v>
      </c>
      <c r="AG14" s="42" t="s">
        <v>216</v>
      </c>
      <c r="AH14" s="80">
        <f t="shared" si="12"/>
        <v>6</v>
      </c>
      <c r="AI14" s="179">
        <f t="shared" si="13"/>
        <v>36013</v>
      </c>
      <c r="AJ14" s="44">
        <f>SUM(AV14:BD14)</f>
        <v>32.5</v>
      </c>
      <c r="AK14" s="43">
        <v>0</v>
      </c>
      <c r="AL14" s="43">
        <f>SUM(AX14,AY14,BA14)</f>
        <v>0</v>
      </c>
      <c r="AM14" s="43">
        <v>0</v>
      </c>
      <c r="AN14" s="43">
        <f>SUM(AW14,AY14,AZ14,BA14)</f>
        <v>12.5</v>
      </c>
      <c r="AO14" s="43">
        <v>0</v>
      </c>
      <c r="AP14" s="68" t="s">
        <v>216</v>
      </c>
      <c r="AQ14" s="68" t="s">
        <v>216</v>
      </c>
      <c r="AR14" s="68" t="s">
        <v>216</v>
      </c>
      <c r="AS14" s="68" t="s">
        <v>216</v>
      </c>
      <c r="AT14" s="81" t="s">
        <v>216</v>
      </c>
      <c r="AU14" s="112" t="str">
        <f t="shared" si="1"/>
        <v>G00G000001</v>
      </c>
      <c r="AV14" s="113">
        <f t="shared" si="7"/>
        <v>20</v>
      </c>
      <c r="AW14" s="113">
        <f t="shared" si="2"/>
        <v>12.5</v>
      </c>
      <c r="AX14" s="113">
        <f t="shared" si="3"/>
        <v>0</v>
      </c>
      <c r="AY14" s="113">
        <f t="shared" si="4"/>
        <v>0</v>
      </c>
      <c r="AZ14" s="113">
        <f t="shared" si="5"/>
        <v>0</v>
      </c>
      <c r="BA14" s="113">
        <f t="shared" si="6"/>
        <v>0</v>
      </c>
      <c r="BB14" s="113" t="s">
        <v>216</v>
      </c>
      <c r="BC14" s="113" t="s">
        <v>216</v>
      </c>
      <c r="BD14" s="113" t="s">
        <v>216</v>
      </c>
    </row>
    <row r="15" spans="1:56" ht="10.5" customHeight="1">
      <c r="A15" s="81" t="str">
        <f t="shared" si="0"/>
        <v>3B6</v>
      </c>
      <c r="B15" s="1" t="s">
        <v>334</v>
      </c>
      <c r="C15" s="1">
        <v>6</v>
      </c>
      <c r="D15" s="126">
        <v>11</v>
      </c>
      <c r="E15" s="71" t="s">
        <v>546</v>
      </c>
      <c r="F15" s="9" t="s">
        <v>216</v>
      </c>
      <c r="G15" s="15" t="str">
        <f>'LDC Account Table'!$B$2</f>
        <v>LDCDUNS##</v>
      </c>
      <c r="H15" s="15" t="str">
        <f>'Supplier Account Table'!$B$2</f>
        <v>SUPDUNS##</v>
      </c>
      <c r="I15" s="179">
        <f t="shared" si="8"/>
        <v>36013</v>
      </c>
      <c r="J15" s="42" t="s">
        <v>538</v>
      </c>
      <c r="K15" s="39" t="str">
        <f>'Category 814'!L65</f>
        <v>S0000000000012</v>
      </c>
      <c r="L15" s="39" t="str">
        <f>'Category 814'!M65</f>
        <v>D0000000000012</v>
      </c>
      <c r="M15" s="80">
        <v>0</v>
      </c>
      <c r="N15" s="1" t="str">
        <f>VLOOKUP(CONCATENATE(LEFT(E15,6),"01 from supplier"),'Category 814'!$E$5:$S$83,14,FALSE)</f>
        <v>G00</v>
      </c>
      <c r="O15" s="71" t="str">
        <f>VLOOKUP(L15,Customer_File,15,FALSE)</f>
        <v>D</v>
      </c>
      <c r="P15" s="1" t="str">
        <f>VLOOKUP(L15,Customer_File,18,FALSE)</f>
        <v>M000000022</v>
      </c>
      <c r="Q15" s="71" t="str">
        <f>VLOOKUP(CONCATENATE(LEFT(E15,6),"01 from supplier"),'Category 814'!$E$5:$S$83,12,FALSE)</f>
        <v>C</v>
      </c>
      <c r="R15" s="1" t="str">
        <f>VLOOKUP(CONCATENATE(LEFT($E15,6),"01 from supplier"),'Category 814'!$E$5:$S$83,15,FALSE)</f>
        <v>G000001</v>
      </c>
      <c r="S15" s="192">
        <f t="shared" si="11"/>
        <v>36013</v>
      </c>
      <c r="T15" s="194">
        <f t="shared" si="9"/>
        <v>35983</v>
      </c>
      <c r="U15" s="71" t="str">
        <f t="shared" si="10"/>
        <v>N</v>
      </c>
      <c r="V15" s="71">
        <v>500</v>
      </c>
      <c r="W15" s="42"/>
      <c r="X15" s="71">
        <v>3.1</v>
      </c>
      <c r="Y15" s="42" t="s">
        <v>216</v>
      </c>
      <c r="Z15" s="42" t="s">
        <v>216</v>
      </c>
      <c r="AA15" s="42" t="s">
        <v>216</v>
      </c>
      <c r="AB15" s="42" t="s">
        <v>216</v>
      </c>
      <c r="AC15" s="42" t="s">
        <v>216</v>
      </c>
      <c r="AD15" s="42" t="s">
        <v>216</v>
      </c>
      <c r="AE15" s="42" t="s">
        <v>216</v>
      </c>
      <c r="AF15" s="77">
        <v>4.5</v>
      </c>
      <c r="AG15" s="42" t="s">
        <v>216</v>
      </c>
      <c r="AH15" s="80">
        <f t="shared" si="12"/>
        <v>6</v>
      </c>
      <c r="AI15" s="179">
        <f t="shared" si="13"/>
        <v>36013</v>
      </c>
      <c r="AJ15" s="44">
        <f>SUM(AV15:BD15)</f>
        <v>13.1</v>
      </c>
      <c r="AK15" s="43">
        <v>0</v>
      </c>
      <c r="AL15" s="43">
        <f>SUM(AX15,AY15,BA15)</f>
        <v>0</v>
      </c>
      <c r="AM15" s="43">
        <v>0</v>
      </c>
      <c r="AN15" s="43">
        <f>SUM(AW15,AY15,AZ15,BA15)</f>
        <v>3.1</v>
      </c>
      <c r="AO15" s="43">
        <v>0</v>
      </c>
      <c r="AP15" s="44">
        <f>IF(VLOOKUP(L15,Customer_File,10,FALSE)="Y",SUM(AJ14:AJ15)*Tax_Rate,0)</f>
        <v>0</v>
      </c>
      <c r="AQ15" s="43">
        <f>Int_Rate*AR15</f>
        <v>0</v>
      </c>
      <c r="AR15" s="43">
        <v>0</v>
      </c>
      <c r="AS15" s="43">
        <f>SUM(AJ14:AR15)</f>
        <v>61.2</v>
      </c>
      <c r="AT15" s="81" t="s">
        <v>216</v>
      </c>
      <c r="AU15" s="112" t="str">
        <f t="shared" si="1"/>
        <v>G00G000001</v>
      </c>
      <c r="AV15" s="113">
        <f t="shared" si="7"/>
        <v>10</v>
      </c>
      <c r="AW15" s="113">
        <f t="shared" si="2"/>
        <v>3.1</v>
      </c>
      <c r="AX15" s="113">
        <f t="shared" si="3"/>
        <v>0</v>
      </c>
      <c r="AY15" s="113">
        <f t="shared" si="4"/>
        <v>0</v>
      </c>
      <c r="AZ15" s="113">
        <f t="shared" si="5"/>
        <v>0</v>
      </c>
      <c r="BA15" s="113">
        <f t="shared" si="6"/>
        <v>0</v>
      </c>
      <c r="BB15" s="113" t="s">
        <v>216</v>
      </c>
      <c r="BC15" s="113" t="s">
        <v>216</v>
      </c>
      <c r="BD15" s="113" t="s">
        <v>216</v>
      </c>
    </row>
    <row r="16" spans="1:56" ht="11.25">
      <c r="A16" s="81" t="str">
        <f t="shared" si="0"/>
        <v>3B7</v>
      </c>
      <c r="B16" s="1" t="s">
        <v>334</v>
      </c>
      <c r="C16" s="1">
        <v>7</v>
      </c>
      <c r="D16" s="126">
        <v>10</v>
      </c>
      <c r="E16" s="71" t="s">
        <v>547</v>
      </c>
      <c r="F16" s="9" t="s">
        <v>216</v>
      </c>
      <c r="G16" s="15" t="str">
        <f>'LDC Account Table'!$B$2</f>
        <v>LDCDUNS##</v>
      </c>
      <c r="H16" s="15" t="str">
        <f>'Supplier Account Table'!$B$2</f>
        <v>SUPDUNS##</v>
      </c>
      <c r="I16" s="179">
        <f t="shared" si="8"/>
        <v>36013</v>
      </c>
      <c r="J16" s="42" t="s">
        <v>538</v>
      </c>
      <c r="K16" s="39" t="str">
        <f>'Category 814'!L67</f>
        <v>S0000000000013</v>
      </c>
      <c r="L16" s="39" t="str">
        <f>'Category 814'!M67</f>
        <v>D0000000000013</v>
      </c>
      <c r="M16" s="80">
        <v>6</v>
      </c>
      <c r="N16" s="42" t="s">
        <v>216</v>
      </c>
      <c r="O16" s="71" t="str">
        <f>VLOOKUP(L16,Customer_File,11,FALSE)</f>
        <v>E</v>
      </c>
      <c r="P16" s="1" t="str">
        <f>VLOOKUP(L16,Customer_File,14,FALSE)</f>
        <v>M000000023</v>
      </c>
      <c r="Q16" s="71" t="str">
        <f>VLOOKUP(CONCATENATE(LEFT(E16,6),"01 from supplier"),'Category 814'!$E$5:$S$83,12,FALSE)</f>
        <v>P</v>
      </c>
      <c r="R16" s="42" t="s">
        <v>216</v>
      </c>
      <c r="S16" s="192">
        <f>VLOOKUP(VLOOKUP(L16,Customer_File,9,FALSE),August,2,FALSE)</f>
        <v>36013</v>
      </c>
      <c r="T16" s="194">
        <f t="shared" si="9"/>
        <v>35983</v>
      </c>
      <c r="U16" s="71" t="str">
        <f t="shared" si="10"/>
        <v>N</v>
      </c>
      <c r="V16" s="71">
        <v>525</v>
      </c>
      <c r="W16" s="42"/>
      <c r="X16" s="42" t="s">
        <v>216</v>
      </c>
      <c r="Y16" s="42" t="s">
        <v>216</v>
      </c>
      <c r="Z16" s="42" t="s">
        <v>216</v>
      </c>
      <c r="AA16" s="42" t="s">
        <v>216</v>
      </c>
      <c r="AB16" s="42" t="s">
        <v>216</v>
      </c>
      <c r="AC16" s="42" t="s">
        <v>216</v>
      </c>
      <c r="AD16" s="42" t="s">
        <v>216</v>
      </c>
      <c r="AE16" s="42" t="s">
        <v>216</v>
      </c>
      <c r="AF16" s="75" t="s">
        <v>216</v>
      </c>
      <c r="AG16" s="42" t="s">
        <v>216</v>
      </c>
      <c r="AH16" s="153" t="s">
        <v>216</v>
      </c>
      <c r="AI16" s="180" t="s">
        <v>216</v>
      </c>
      <c r="AJ16" s="68" t="s">
        <v>216</v>
      </c>
      <c r="AK16" s="68" t="s">
        <v>216</v>
      </c>
      <c r="AL16" s="68" t="s">
        <v>216</v>
      </c>
      <c r="AM16" s="68" t="s">
        <v>216</v>
      </c>
      <c r="AN16" s="68" t="s">
        <v>216</v>
      </c>
      <c r="AO16" s="68" t="s">
        <v>216</v>
      </c>
      <c r="AP16" s="68" t="s">
        <v>216</v>
      </c>
      <c r="AQ16" s="68" t="s">
        <v>216</v>
      </c>
      <c r="AR16" s="68" t="s">
        <v>216</v>
      </c>
      <c r="AS16" s="68" t="s">
        <v>216</v>
      </c>
      <c r="AT16" s="81" t="s">
        <v>216</v>
      </c>
      <c r="AU16" s="112" t="str">
        <f t="shared" si="1"/>
        <v>  </v>
      </c>
      <c r="AV16" s="113" t="e">
        <f t="shared" si="7"/>
        <v>#N/A</v>
      </c>
      <c r="AW16" s="113">
        <f t="shared" si="2"/>
        <v>0</v>
      </c>
      <c r="AX16" s="113">
        <f t="shared" si="3"/>
        <v>0</v>
      </c>
      <c r="AY16" s="113">
        <f t="shared" si="4"/>
        <v>0</v>
      </c>
      <c r="AZ16" s="113">
        <f t="shared" si="5"/>
        <v>0</v>
      </c>
      <c r="BA16" s="113">
        <f t="shared" si="6"/>
        <v>0</v>
      </c>
      <c r="BB16" s="113" t="s">
        <v>216</v>
      </c>
      <c r="BC16" s="113" t="s">
        <v>216</v>
      </c>
      <c r="BD16" s="113" t="s">
        <v>216</v>
      </c>
    </row>
    <row r="17" spans="1:56" ht="11.25">
      <c r="A17" s="81" t="str">
        <f t="shared" si="0"/>
        <v>3B8</v>
      </c>
      <c r="B17" s="1" t="s">
        <v>334</v>
      </c>
      <c r="C17" s="1">
        <v>8</v>
      </c>
      <c r="D17" s="126">
        <v>11</v>
      </c>
      <c r="E17" s="71" t="s">
        <v>548</v>
      </c>
      <c r="F17" s="9" t="s">
        <v>216</v>
      </c>
      <c r="G17" s="15" t="str">
        <f>'LDC Account Table'!$B$2</f>
        <v>LDCDUNS##</v>
      </c>
      <c r="H17" s="15" t="str">
        <f>'Supplier Account Table'!$B$2</f>
        <v>SUPDUNS##</v>
      </c>
      <c r="I17" s="179">
        <f t="shared" si="8"/>
        <v>36013</v>
      </c>
      <c r="J17" s="42" t="s">
        <v>538</v>
      </c>
      <c r="K17" s="39" t="str">
        <f>'Category 814'!L69</f>
        <v>S0000000000014</v>
      </c>
      <c r="L17" s="39" t="str">
        <f>'Category 814'!M69</f>
        <v>D0000000000014</v>
      </c>
      <c r="M17" s="80">
        <v>6</v>
      </c>
      <c r="N17" s="1" t="str">
        <f>VLOOKUP(CONCATENATE(LEFT(E17,6),"01 from supplier"),'Category 814'!$E$5:$S$83,14,FALSE)</f>
        <v>R01</v>
      </c>
      <c r="O17" s="71" t="str">
        <f>VLOOKUP(L17,Customer_File,11,FALSE)</f>
        <v>E</v>
      </c>
      <c r="P17" s="1" t="str">
        <f>VLOOKUP(L17,Customer_File,14,FALSE)</f>
        <v>M000000025</v>
      </c>
      <c r="Q17" s="71" t="str">
        <f>VLOOKUP(CONCATENATE(LEFT(E17,6),"01 from supplier"),'Category 814'!$E$5:$S$83,12,FALSE)</f>
        <v>C</v>
      </c>
      <c r="R17" s="1" t="str">
        <f>VLOOKUP(CONCATENATE(LEFT($E17,6),"01 from supplier"),'Category 814'!$E$5:$S$83,15,FALSE)</f>
        <v>R000001</v>
      </c>
      <c r="S17" s="192">
        <f t="shared" si="11"/>
        <v>36013</v>
      </c>
      <c r="T17" s="194">
        <f t="shared" si="9"/>
        <v>35983</v>
      </c>
      <c r="U17" s="71" t="str">
        <f t="shared" si="10"/>
        <v>N</v>
      </c>
      <c r="V17" s="71">
        <v>650</v>
      </c>
      <c r="W17" s="42"/>
      <c r="X17" s="42" t="s">
        <v>216</v>
      </c>
      <c r="Y17" s="42" t="s">
        <v>216</v>
      </c>
      <c r="Z17" s="42" t="s">
        <v>216</v>
      </c>
      <c r="AA17" s="42" t="s">
        <v>216</v>
      </c>
      <c r="AB17" s="42" t="s">
        <v>216</v>
      </c>
      <c r="AC17" s="42" t="s">
        <v>216</v>
      </c>
      <c r="AD17" s="42" t="s">
        <v>216</v>
      </c>
      <c r="AE17" s="42" t="s">
        <v>216</v>
      </c>
      <c r="AF17" s="75" t="s">
        <v>216</v>
      </c>
      <c r="AG17" s="42" t="s">
        <v>216</v>
      </c>
      <c r="AH17" s="41">
        <f t="shared" si="12"/>
        <v>6</v>
      </c>
      <c r="AI17" s="181">
        <f t="shared" si="13"/>
        <v>36013</v>
      </c>
      <c r="AJ17" s="44">
        <f>SUM(AV17:BD17)</f>
        <v>18.2</v>
      </c>
      <c r="AK17" s="43">
        <v>0</v>
      </c>
      <c r="AL17" s="43">
        <f>SUM(AX17,AY17,BA17)</f>
        <v>0</v>
      </c>
      <c r="AM17" s="43">
        <v>0</v>
      </c>
      <c r="AN17" s="43">
        <f>SUM(AW17,AY17,AZ17,BA17)</f>
        <v>0</v>
      </c>
      <c r="AO17" s="43">
        <v>0</v>
      </c>
      <c r="AP17" s="44">
        <f>IF(VLOOKUP(L17,Customer_File,10,FALSE)="Y",AJ17*Tax_Rate,0)</f>
        <v>0</v>
      </c>
      <c r="AQ17" s="43">
        <f>Int_Rate*AR17</f>
        <v>0</v>
      </c>
      <c r="AR17" s="44">
        <v>0</v>
      </c>
      <c r="AS17" s="152">
        <f>SUM(AJ17:AR17)</f>
        <v>18.2</v>
      </c>
      <c r="AT17" s="81" t="s">
        <v>216</v>
      </c>
      <c r="AU17" s="112" t="str">
        <f t="shared" si="1"/>
        <v>R01R000001</v>
      </c>
      <c r="AV17" s="113">
        <f t="shared" si="7"/>
        <v>18.2</v>
      </c>
      <c r="AW17" s="113">
        <f t="shared" si="2"/>
        <v>0</v>
      </c>
      <c r="AX17" s="113">
        <f t="shared" si="3"/>
        <v>0</v>
      </c>
      <c r="AY17" s="113">
        <f t="shared" si="4"/>
        <v>0</v>
      </c>
      <c r="AZ17" s="113">
        <f t="shared" si="5"/>
        <v>0</v>
      </c>
      <c r="BA17" s="113">
        <f t="shared" si="6"/>
        <v>0</v>
      </c>
      <c r="BB17" s="113" t="s">
        <v>216</v>
      </c>
      <c r="BC17" s="113" t="s">
        <v>216</v>
      </c>
      <c r="BD17" s="113" t="s">
        <v>216</v>
      </c>
    </row>
    <row r="18" spans="1:56" ht="11.25">
      <c r="A18" s="81" t="str">
        <f t="shared" si="0"/>
        <v>3B9</v>
      </c>
      <c r="B18" s="1" t="s">
        <v>334</v>
      </c>
      <c r="C18" s="1">
        <v>9</v>
      </c>
      <c r="D18" s="126">
        <v>11</v>
      </c>
      <c r="E18" s="71" t="s">
        <v>549</v>
      </c>
      <c r="F18" s="9" t="s">
        <v>216</v>
      </c>
      <c r="G18" s="15" t="str">
        <f>'LDC Account Table'!$B$2</f>
        <v>LDCDUNS##</v>
      </c>
      <c r="H18" s="15" t="str">
        <f>'Supplier Account Table'!$B$2</f>
        <v>SUPDUNS##</v>
      </c>
      <c r="I18" s="179">
        <f t="shared" si="8"/>
        <v>36013</v>
      </c>
      <c r="J18" s="42" t="s">
        <v>538</v>
      </c>
      <c r="K18" s="39" t="str">
        <f>'Category 814'!L71</f>
        <v>S0000000000015</v>
      </c>
      <c r="L18" s="39" t="str">
        <f>'Category 814'!M71</f>
        <v>D0000000000015</v>
      </c>
      <c r="M18" s="80">
        <v>3</v>
      </c>
      <c r="N18" s="1" t="str">
        <f>VLOOKUP(CONCATENATE(LEFT(E18,6),"01 from supplier"),'Category 814'!$E$5:$S$83,14,FALSE)</f>
        <v>R01</v>
      </c>
      <c r="O18" s="71" t="str">
        <f>VLOOKUP(L18,Customer_File,11,FALSE)</f>
        <v>E</v>
      </c>
      <c r="P18" s="1" t="str">
        <f>VLOOKUP(L18,Customer_File,14,FALSE)</f>
        <v>M000000027</v>
      </c>
      <c r="Q18" s="71" t="str">
        <f>VLOOKUP(CONCATENATE(LEFT(E18,6),"01 from supplier"),'Category 814'!$E$5:$S$83,12,FALSE)</f>
        <v>C</v>
      </c>
      <c r="R18" s="1" t="str">
        <f>VLOOKUP(CONCATENATE(LEFT($E18,6),"01 from supplier"),'Category 814'!$E$5:$S$83,15,FALSE)</f>
        <v>R000001</v>
      </c>
      <c r="S18" s="192">
        <f t="shared" si="11"/>
        <v>36013</v>
      </c>
      <c r="T18" s="194">
        <f t="shared" si="9"/>
        <v>35983</v>
      </c>
      <c r="U18" s="71" t="str">
        <f t="shared" si="10"/>
        <v>N</v>
      </c>
      <c r="V18" s="71">
        <v>47</v>
      </c>
      <c r="W18" s="42"/>
      <c r="X18" s="42" t="s">
        <v>216</v>
      </c>
      <c r="Y18" s="42" t="s">
        <v>216</v>
      </c>
      <c r="Z18" s="42" t="s">
        <v>216</v>
      </c>
      <c r="AA18" s="42" t="s">
        <v>216</v>
      </c>
      <c r="AB18" s="42" t="s">
        <v>216</v>
      </c>
      <c r="AC18" s="42" t="s">
        <v>216</v>
      </c>
      <c r="AD18" s="42" t="s">
        <v>216</v>
      </c>
      <c r="AE18" s="42" t="s">
        <v>216</v>
      </c>
      <c r="AF18" s="75" t="s">
        <v>216</v>
      </c>
      <c r="AG18" s="42" t="s">
        <v>216</v>
      </c>
      <c r="AH18" s="41">
        <f t="shared" si="12"/>
        <v>6</v>
      </c>
      <c r="AI18" s="181">
        <f t="shared" si="13"/>
        <v>36013</v>
      </c>
      <c r="AJ18" s="44">
        <f>SUM(AV18:BD18)</f>
        <v>1.316</v>
      </c>
      <c r="AK18" s="43">
        <v>0</v>
      </c>
      <c r="AL18" s="43">
        <f>SUM(AX18,AY18,BA18)</f>
        <v>0</v>
      </c>
      <c r="AM18" s="43">
        <v>0</v>
      </c>
      <c r="AN18" s="43">
        <f>SUM(AW18,AY18,AZ18,BA18)</f>
        <v>0</v>
      </c>
      <c r="AO18" s="43">
        <v>0</v>
      </c>
      <c r="AP18" s="44">
        <f>IF(VLOOKUP(L18,Customer_File,10,FALSE)="Y",AJ18*Tax_Rate,0)</f>
        <v>0</v>
      </c>
      <c r="AQ18" s="43">
        <f>Int_Rate*AR18</f>
        <v>0</v>
      </c>
      <c r="AR18" s="44">
        <v>0</v>
      </c>
      <c r="AS18" s="44">
        <f>SUM(AJ18:AR18)</f>
        <v>1.316</v>
      </c>
      <c r="AT18" s="81" t="s">
        <v>216</v>
      </c>
      <c r="AU18" s="112" t="str">
        <f t="shared" si="1"/>
        <v>R01R000001</v>
      </c>
      <c r="AV18" s="113">
        <f t="shared" si="7"/>
        <v>1.316</v>
      </c>
      <c r="AW18" s="113">
        <f t="shared" si="2"/>
        <v>0</v>
      </c>
      <c r="AX18" s="113">
        <f t="shared" si="3"/>
        <v>0</v>
      </c>
      <c r="AY18" s="113">
        <f t="shared" si="4"/>
        <v>0</v>
      </c>
      <c r="AZ18" s="113">
        <f t="shared" si="5"/>
        <v>0</v>
      </c>
      <c r="BA18" s="113">
        <f t="shared" si="6"/>
        <v>0</v>
      </c>
      <c r="BB18" s="113" t="s">
        <v>216</v>
      </c>
      <c r="BC18" s="113" t="s">
        <v>216</v>
      </c>
      <c r="BD18" s="113" t="s">
        <v>216</v>
      </c>
    </row>
    <row r="19" spans="1:56" ht="11.25">
      <c r="A19" s="81" t="str">
        <f t="shared" si="0"/>
        <v>3B10</v>
      </c>
      <c r="B19" s="1" t="s">
        <v>334</v>
      </c>
      <c r="C19" s="1">
        <v>10</v>
      </c>
      <c r="D19" s="126">
        <v>10</v>
      </c>
      <c r="E19" s="71" t="s">
        <v>550</v>
      </c>
      <c r="F19" s="9" t="s">
        <v>216</v>
      </c>
      <c r="G19" s="15" t="str">
        <f>'LDC Account Table'!$B$2</f>
        <v>LDCDUNS##</v>
      </c>
      <c r="H19" s="15" t="str">
        <f>'Supplier Account Table'!$B$2</f>
        <v>SUPDUNS##</v>
      </c>
      <c r="I19" s="179">
        <f t="shared" si="8"/>
        <v>36013</v>
      </c>
      <c r="J19" s="42" t="s">
        <v>538</v>
      </c>
      <c r="K19" s="39" t="str">
        <f>'Category 814'!L73</f>
        <v>S0000000000016</v>
      </c>
      <c r="L19" s="39" t="str">
        <f>'Category 814'!M73</f>
        <v>D0000000000016</v>
      </c>
      <c r="M19" s="80">
        <v>0</v>
      </c>
      <c r="N19" s="42" t="s">
        <v>216</v>
      </c>
      <c r="O19" s="71" t="str">
        <f>VLOOKUP(L19,Customer_File,11,FALSE)</f>
        <v>T</v>
      </c>
      <c r="P19" s="1" t="str">
        <f>VLOOKUP(L19,Customer_File,14,FALSE)</f>
        <v>M000000029</v>
      </c>
      <c r="Q19" s="71" t="str">
        <f>VLOOKUP(CONCATENATE(LEFT(E19,6),"01 from supplier"),'Category 814'!$E$5:$S$83,12,FALSE)</f>
        <v>P</v>
      </c>
      <c r="R19" s="42" t="s">
        <v>216</v>
      </c>
      <c r="S19" s="192">
        <f>VLOOKUP(VLOOKUP(L19,Customer_File,9,FALSE),August,2,FALSE)</f>
        <v>36013</v>
      </c>
      <c r="T19" s="194">
        <f t="shared" si="9"/>
        <v>35983</v>
      </c>
      <c r="U19" s="71" t="str">
        <f t="shared" si="10"/>
        <v>N</v>
      </c>
      <c r="V19" s="42"/>
      <c r="W19" s="71">
        <v>500</v>
      </c>
      <c r="X19" s="1">
        <v>10.2</v>
      </c>
      <c r="Y19" s="42" t="s">
        <v>216</v>
      </c>
      <c r="Z19" s="1">
        <v>200</v>
      </c>
      <c r="AA19" s="1">
        <v>2.5</v>
      </c>
      <c r="AB19" s="42" t="s">
        <v>216</v>
      </c>
      <c r="AC19" s="145" t="s">
        <v>216</v>
      </c>
      <c r="AD19" s="145" t="s">
        <v>216</v>
      </c>
      <c r="AE19" s="145" t="s">
        <v>216</v>
      </c>
      <c r="AF19" s="75" t="s">
        <v>216</v>
      </c>
      <c r="AG19" s="42" t="s">
        <v>216</v>
      </c>
      <c r="AH19" s="153" t="s">
        <v>216</v>
      </c>
      <c r="AI19" s="180" t="s">
        <v>216</v>
      </c>
      <c r="AJ19" s="68" t="s">
        <v>216</v>
      </c>
      <c r="AK19" s="68" t="s">
        <v>216</v>
      </c>
      <c r="AL19" s="68" t="s">
        <v>216</v>
      </c>
      <c r="AM19" s="68" t="s">
        <v>216</v>
      </c>
      <c r="AN19" s="68" t="s">
        <v>216</v>
      </c>
      <c r="AO19" s="68" t="s">
        <v>216</v>
      </c>
      <c r="AP19" s="68" t="s">
        <v>216</v>
      </c>
      <c r="AQ19" s="68" t="s">
        <v>216</v>
      </c>
      <c r="AR19" s="68" t="s">
        <v>216</v>
      </c>
      <c r="AS19" s="68" t="s">
        <v>216</v>
      </c>
      <c r="AT19" s="81" t="s">
        <v>216</v>
      </c>
      <c r="AU19" s="112" t="str">
        <f t="shared" si="1"/>
        <v>  </v>
      </c>
      <c r="AV19" s="113">
        <f t="shared" si="7"/>
        <v>0</v>
      </c>
      <c r="AW19" s="113" t="e">
        <f t="shared" si="2"/>
        <v>#N/A</v>
      </c>
      <c r="AX19" s="113" t="e">
        <f t="shared" si="3"/>
        <v>#N/A</v>
      </c>
      <c r="AY19" s="113" t="e">
        <f t="shared" si="4"/>
        <v>#N/A</v>
      </c>
      <c r="AZ19" s="113">
        <f t="shared" si="5"/>
        <v>0</v>
      </c>
      <c r="BA19" s="113">
        <f t="shared" si="6"/>
        <v>0</v>
      </c>
      <c r="BB19" s="113" t="s">
        <v>216</v>
      </c>
      <c r="BC19" s="113" t="s">
        <v>216</v>
      </c>
      <c r="BD19" s="113" t="s">
        <v>216</v>
      </c>
    </row>
    <row r="20" spans="1:56" ht="11.25">
      <c r="A20" s="81" t="str">
        <f t="shared" si="0"/>
        <v>3B11</v>
      </c>
      <c r="B20" s="1" t="s">
        <v>334</v>
      </c>
      <c r="C20" s="1">
        <v>11</v>
      </c>
      <c r="D20" s="126">
        <v>10</v>
      </c>
      <c r="E20" s="71" t="s">
        <v>551</v>
      </c>
      <c r="F20" s="9" t="s">
        <v>216</v>
      </c>
      <c r="G20" s="15" t="str">
        <f>'LDC Account Table'!$B$2</f>
        <v>LDCDUNS##</v>
      </c>
      <c r="H20" s="15" t="str">
        <f>'Supplier Account Table'!$B$2</f>
        <v>SUPDUNS##</v>
      </c>
      <c r="I20" s="179">
        <f t="shared" si="8"/>
        <v>36013</v>
      </c>
      <c r="J20" s="42" t="s">
        <v>538</v>
      </c>
      <c r="K20" s="39" t="str">
        <f>'Category 814'!L75</f>
        <v>S0000000000017</v>
      </c>
      <c r="L20" s="39" t="str">
        <f>'Category 814'!M75</f>
        <v>D0000000000017</v>
      </c>
      <c r="M20" s="80">
        <v>0</v>
      </c>
      <c r="N20" s="42" t="s">
        <v>216</v>
      </c>
      <c r="O20" s="71" t="str">
        <f>VLOOKUP(L20,Customer_File,11,FALSE)</f>
        <v>T</v>
      </c>
      <c r="P20" s="1" t="str">
        <f>VLOOKUP(L20,Customer_File,14,FALSE)</f>
        <v>M000000031</v>
      </c>
      <c r="Q20" s="71" t="str">
        <f>VLOOKUP(CONCATENATE(LEFT(E20,6),"01 from supplier"),'Category 814'!$E$5:$S$83,12,FALSE)</f>
        <v>P</v>
      </c>
      <c r="R20" s="42" t="s">
        <v>216</v>
      </c>
      <c r="S20" s="192">
        <f>VLOOKUP(VLOOKUP(L20,Customer_File,9,FALSE),August,2,FALSE)</f>
        <v>36013</v>
      </c>
      <c r="T20" s="194">
        <f t="shared" si="9"/>
        <v>35983</v>
      </c>
      <c r="U20" s="71" t="str">
        <f t="shared" si="10"/>
        <v>Y</v>
      </c>
      <c r="V20" s="42"/>
      <c r="W20" s="71">
        <v>115000</v>
      </c>
      <c r="X20" s="71">
        <v>112.1</v>
      </c>
      <c r="Y20" s="71">
        <v>50.1</v>
      </c>
      <c r="Z20" s="71">
        <v>7000</v>
      </c>
      <c r="AA20" s="71">
        <v>86.1</v>
      </c>
      <c r="AB20" s="71">
        <v>30.2</v>
      </c>
      <c r="AC20" s="145" t="s">
        <v>216</v>
      </c>
      <c r="AD20" s="145" t="s">
        <v>216</v>
      </c>
      <c r="AE20" s="145" t="s">
        <v>216</v>
      </c>
      <c r="AF20" s="75" t="s">
        <v>216</v>
      </c>
      <c r="AG20" s="42" t="s">
        <v>216</v>
      </c>
      <c r="AH20" s="153" t="s">
        <v>216</v>
      </c>
      <c r="AI20" s="180" t="s">
        <v>216</v>
      </c>
      <c r="AJ20" s="68" t="s">
        <v>216</v>
      </c>
      <c r="AK20" s="68" t="s">
        <v>216</v>
      </c>
      <c r="AL20" s="68" t="s">
        <v>216</v>
      </c>
      <c r="AM20" s="68" t="s">
        <v>216</v>
      </c>
      <c r="AN20" s="68" t="s">
        <v>216</v>
      </c>
      <c r="AO20" s="68" t="s">
        <v>216</v>
      </c>
      <c r="AP20" s="68" t="s">
        <v>216</v>
      </c>
      <c r="AQ20" s="68" t="s">
        <v>216</v>
      </c>
      <c r="AR20" s="68" t="s">
        <v>216</v>
      </c>
      <c r="AS20" s="68" t="s">
        <v>216</v>
      </c>
      <c r="AT20" s="81" t="s">
        <v>216</v>
      </c>
      <c r="AU20" s="112" t="str">
        <f t="shared" si="1"/>
        <v>  </v>
      </c>
      <c r="AV20" s="113">
        <f t="shared" si="7"/>
        <v>0</v>
      </c>
      <c r="AW20" s="113" t="e">
        <f t="shared" si="2"/>
        <v>#N/A</v>
      </c>
      <c r="AX20" s="113" t="e">
        <f t="shared" si="3"/>
        <v>#N/A</v>
      </c>
      <c r="AY20" s="113" t="e">
        <f t="shared" si="4"/>
        <v>#N/A</v>
      </c>
      <c r="AZ20" s="113" t="e">
        <f t="shared" si="5"/>
        <v>#N/A</v>
      </c>
      <c r="BA20" s="113" t="e">
        <f t="shared" si="6"/>
        <v>#N/A</v>
      </c>
      <c r="BB20" s="113" t="s">
        <v>216</v>
      </c>
      <c r="BC20" s="113" t="s">
        <v>216</v>
      </c>
      <c r="BD20" s="113" t="s">
        <v>216</v>
      </c>
    </row>
    <row r="21" spans="1:56" ht="11.25">
      <c r="A21" s="81" t="str">
        <f t="shared" si="0"/>
        <v>3B12</v>
      </c>
      <c r="B21" s="1" t="s">
        <v>334</v>
      </c>
      <c r="C21" s="1">
        <v>12</v>
      </c>
      <c r="D21" s="126">
        <v>10</v>
      </c>
      <c r="E21" s="71" t="s">
        <v>552</v>
      </c>
      <c r="F21" s="9" t="s">
        <v>216</v>
      </c>
      <c r="G21" s="15" t="str">
        <f>'LDC Account Table'!$B$2</f>
        <v>LDCDUNS##</v>
      </c>
      <c r="H21" s="15" t="str">
        <f>'Supplier Account Table'!$B$2</f>
        <v>SUPDUNS##</v>
      </c>
      <c r="I21" s="179">
        <f t="shared" si="8"/>
        <v>36013</v>
      </c>
      <c r="J21" s="42" t="s">
        <v>538</v>
      </c>
      <c r="K21" s="39" t="str">
        <f>'Category 814'!L76</f>
        <v>S0000000000017</v>
      </c>
      <c r="L21" s="39" t="str">
        <f>'Category 814'!M76</f>
        <v>D0000000000017</v>
      </c>
      <c r="M21" s="80">
        <v>0</v>
      </c>
      <c r="N21" s="42" t="s">
        <v>216</v>
      </c>
      <c r="O21" s="71" t="str">
        <f>VLOOKUP(L21,Customer_File,15,FALSE)</f>
        <v>T</v>
      </c>
      <c r="P21" s="1" t="str">
        <f>VLOOKUP(L21,Customer_File,18,FALSE)</f>
        <v>M000000032</v>
      </c>
      <c r="Q21" s="71" t="str">
        <f>VLOOKUP(CONCATENATE(LEFT(E21,6),"01 from supplier"),'Category 814'!$E$5:$S$83,12,FALSE)</f>
        <v>P</v>
      </c>
      <c r="R21" s="42" t="s">
        <v>216</v>
      </c>
      <c r="S21" s="192">
        <f>VLOOKUP(VLOOKUP(L21,Customer_File,9,FALSE),August,2,FALSE)</f>
        <v>36013</v>
      </c>
      <c r="T21" s="194">
        <f t="shared" si="9"/>
        <v>35983</v>
      </c>
      <c r="U21" s="71" t="str">
        <f t="shared" si="10"/>
        <v>Y</v>
      </c>
      <c r="V21" s="42"/>
      <c r="W21" s="71">
        <v>28750</v>
      </c>
      <c r="X21" s="71">
        <v>25.1</v>
      </c>
      <c r="Y21" s="71">
        <v>50.1</v>
      </c>
      <c r="Z21" s="71">
        <v>6250</v>
      </c>
      <c r="AA21" s="71">
        <v>15.5</v>
      </c>
      <c r="AB21" s="71">
        <v>30.2</v>
      </c>
      <c r="AC21" s="145" t="s">
        <v>216</v>
      </c>
      <c r="AD21" s="145" t="s">
        <v>216</v>
      </c>
      <c r="AE21" s="145" t="s">
        <v>216</v>
      </c>
      <c r="AF21" s="75" t="s">
        <v>216</v>
      </c>
      <c r="AG21" s="42" t="s">
        <v>216</v>
      </c>
      <c r="AH21" s="153" t="s">
        <v>216</v>
      </c>
      <c r="AI21" s="180" t="s">
        <v>216</v>
      </c>
      <c r="AJ21" s="68" t="s">
        <v>216</v>
      </c>
      <c r="AK21" s="68" t="s">
        <v>216</v>
      </c>
      <c r="AL21" s="68" t="s">
        <v>216</v>
      </c>
      <c r="AM21" s="68" t="s">
        <v>216</v>
      </c>
      <c r="AN21" s="68" t="s">
        <v>216</v>
      </c>
      <c r="AO21" s="68" t="s">
        <v>216</v>
      </c>
      <c r="AP21" s="68" t="s">
        <v>216</v>
      </c>
      <c r="AQ21" s="68" t="s">
        <v>216</v>
      </c>
      <c r="AR21" s="68" t="s">
        <v>216</v>
      </c>
      <c r="AS21" s="68" t="s">
        <v>216</v>
      </c>
      <c r="AT21" s="81" t="s">
        <v>216</v>
      </c>
      <c r="AU21" s="112" t="str">
        <f t="shared" si="1"/>
        <v>  </v>
      </c>
      <c r="AV21" s="113">
        <f t="shared" si="7"/>
        <v>0</v>
      </c>
      <c r="AW21" s="113" t="e">
        <f t="shared" si="2"/>
        <v>#N/A</v>
      </c>
      <c r="AX21" s="113" t="e">
        <f t="shared" si="3"/>
        <v>#N/A</v>
      </c>
      <c r="AY21" s="113" t="e">
        <f t="shared" si="4"/>
        <v>#N/A</v>
      </c>
      <c r="AZ21" s="113" t="e">
        <f t="shared" si="5"/>
        <v>#N/A</v>
      </c>
      <c r="BA21" s="113" t="e">
        <f t="shared" si="6"/>
        <v>#N/A</v>
      </c>
      <c r="BB21" s="113" t="s">
        <v>216</v>
      </c>
      <c r="BC21" s="113" t="s">
        <v>216</v>
      </c>
      <c r="BD21" s="113" t="s">
        <v>216</v>
      </c>
    </row>
    <row r="22" spans="1:56" ht="11.25">
      <c r="A22" s="81" t="str">
        <f>CONCATENATE(B22,C22)</f>
        <v>3B13</v>
      </c>
      <c r="B22" s="1" t="s">
        <v>334</v>
      </c>
      <c r="C22" s="1">
        <v>13</v>
      </c>
      <c r="D22" s="126">
        <v>11</v>
      </c>
      <c r="E22" s="1" t="s">
        <v>553</v>
      </c>
      <c r="F22" s="9" t="s">
        <v>216</v>
      </c>
      <c r="G22" s="15" t="str">
        <f>'LDC Account Table'!$B$2</f>
        <v>LDCDUNS##</v>
      </c>
      <c r="H22" s="15" t="str">
        <f>'Supplier Account Table'!$B$2</f>
        <v>SUPDUNS##</v>
      </c>
      <c r="I22" s="179">
        <f t="shared" si="8"/>
        <v>36013</v>
      </c>
      <c r="J22" s="42" t="s">
        <v>538</v>
      </c>
      <c r="K22" s="8" t="str">
        <f>'Category 814'!L78</f>
        <v>S0000000000018</v>
      </c>
      <c r="L22" s="8" t="str">
        <f>'Category 814'!M78</f>
        <v>D0000000000018</v>
      </c>
      <c r="M22" s="41">
        <v>0</v>
      </c>
      <c r="N22" s="1" t="str">
        <f>VLOOKUP(CONCATENATE(LEFT(E22,6),"01 from supplier"),'Category 814'!$E$5:$S$83,14,FALSE)</f>
        <v>G00</v>
      </c>
      <c r="O22" s="71" t="str">
        <f>VLOOKUP(L22,Customer_File,11,FALSE)</f>
        <v>D</v>
      </c>
      <c r="P22" s="1" t="str">
        <f>VLOOKUP(L22,Customer_File,14,FALSE)</f>
        <v>M000000033</v>
      </c>
      <c r="Q22" s="71" t="str">
        <f>VLOOKUP(CONCATENATE(LEFT(E22,6),"01 from supplier"),'Category 814'!$E$5:$S$83,12,FALSE)</f>
        <v>C</v>
      </c>
      <c r="R22" s="1" t="str">
        <f>VLOOKUP(CONCATENATE(LEFT($E22,6),"01 from supplier"),'Category 814'!$E$5:$S$83,15,FALSE)</f>
        <v>G000001</v>
      </c>
      <c r="S22" s="192">
        <f t="shared" si="11"/>
        <v>36013</v>
      </c>
      <c r="T22" s="192">
        <f t="shared" si="9"/>
        <v>35983</v>
      </c>
      <c r="U22" s="71" t="str">
        <f t="shared" si="10"/>
        <v>N</v>
      </c>
      <c r="V22" s="71">
        <v>500</v>
      </c>
      <c r="W22" s="42"/>
      <c r="X22" s="77">
        <v>5</v>
      </c>
      <c r="Y22" s="42" t="s">
        <v>216</v>
      </c>
      <c r="Z22" s="42" t="s">
        <v>216</v>
      </c>
      <c r="AA22" s="42" t="s">
        <v>216</v>
      </c>
      <c r="AB22" s="42" t="s">
        <v>216</v>
      </c>
      <c r="AC22" s="42" t="s">
        <v>216</v>
      </c>
      <c r="AD22" s="42" t="s">
        <v>216</v>
      </c>
      <c r="AE22" s="42" t="s">
        <v>216</v>
      </c>
      <c r="AF22" s="75" t="s">
        <v>216</v>
      </c>
      <c r="AG22" s="42" t="s">
        <v>216</v>
      </c>
      <c r="AH22" s="41">
        <f t="shared" si="12"/>
        <v>6</v>
      </c>
      <c r="AI22" s="181">
        <f t="shared" si="13"/>
        <v>36013</v>
      </c>
      <c r="AJ22" s="44">
        <f>SUM(AV22:BD22)</f>
        <v>15</v>
      </c>
      <c r="AK22" s="43">
        <v>0</v>
      </c>
      <c r="AL22" s="43">
        <f>SUM(AX22,AY22,BA22)</f>
        <v>0</v>
      </c>
      <c r="AM22" s="43">
        <v>0</v>
      </c>
      <c r="AN22" s="43">
        <f>SUM(AW22,AY22,AZ22,BA22)</f>
        <v>5</v>
      </c>
      <c r="AO22" s="43">
        <v>0</v>
      </c>
      <c r="AP22" s="44">
        <f>IF(VLOOKUP(L22,Customer_File,10,FALSE)="Y",AJ22*Tax_Rate,0)</f>
        <v>0.75</v>
      </c>
      <c r="AQ22" s="44">
        <f>Int_Rate*AR22</f>
        <v>0.75</v>
      </c>
      <c r="AR22" s="44">
        <v>50</v>
      </c>
      <c r="AS22" s="44">
        <f>SUM(AJ22:AR22)</f>
        <v>71.5</v>
      </c>
      <c r="AT22" s="81" t="s">
        <v>216</v>
      </c>
      <c r="AU22" s="112" t="str">
        <f>CONCATENATE(N22,R22)</f>
        <v>G00G000001</v>
      </c>
      <c r="AV22" s="113">
        <f t="shared" si="7"/>
        <v>10</v>
      </c>
      <c r="AW22" s="113">
        <f>IF(ISNUMBER(X22),VLOOKUP(AU22,Rate_Table,5,FALSE)*VALUE(X22),0)</f>
        <v>5</v>
      </c>
      <c r="AX22" s="113">
        <f>IF(ISNUMBER(Z22),VLOOKUP(AU22,Rate_Table,6,FALSE)*Z22,0)</f>
        <v>0</v>
      </c>
      <c r="AY22" s="113">
        <f>IF(ISNUMBER(AA22),VLOOKUP(AU22,Rate_Table,7,FALSE)*AA22,0)</f>
        <v>0</v>
      </c>
      <c r="AZ22" s="113">
        <f>IF(ISNUMBER(Y22),VLOOKUP(AU22,Rate_Table,8,FALSE)*Y22,0)</f>
        <v>0</v>
      </c>
      <c r="BA22" s="113">
        <f>IF(ISNUMBER(AB22),VLOOKUP(AU22,Rate_Table,9,FALSE)*AB22,0)</f>
        <v>0</v>
      </c>
      <c r="BB22" s="113" t="s">
        <v>216</v>
      </c>
      <c r="BC22" s="113" t="s">
        <v>216</v>
      </c>
      <c r="BD22" s="113" t="s">
        <v>216</v>
      </c>
    </row>
    <row r="23" spans="1:56" ht="11.25">
      <c r="A23" s="81" t="str">
        <f>CONCATENATE(B23,C23)</f>
        <v>3B14</v>
      </c>
      <c r="B23" s="1" t="s">
        <v>334</v>
      </c>
      <c r="C23" s="1">
        <v>14</v>
      </c>
      <c r="D23" s="126">
        <v>11</v>
      </c>
      <c r="E23" s="1" t="s">
        <v>554</v>
      </c>
      <c r="F23" s="9" t="s">
        <v>216</v>
      </c>
      <c r="G23" s="15" t="str">
        <f>'LDC Account Table'!$B$2</f>
        <v>LDCDUNS##</v>
      </c>
      <c r="H23" s="15" t="str">
        <f>'Supplier Account Table'!$B$2</f>
        <v>SUPDUNS##</v>
      </c>
      <c r="I23" s="179">
        <f t="shared" si="8"/>
        <v>36013</v>
      </c>
      <c r="J23" s="42" t="s">
        <v>538</v>
      </c>
      <c r="K23" s="8" t="str">
        <f>'Category 814'!L80</f>
        <v>S0000000000019</v>
      </c>
      <c r="L23" s="8" t="str">
        <f>'Category 814'!M80</f>
        <v>D0000000000019</v>
      </c>
      <c r="M23" s="41">
        <v>0</v>
      </c>
      <c r="N23" s="1" t="str">
        <f>VLOOKUP(CONCATENATE(LEFT(E23,6),"01 from supplier"),'Category 814'!$E$5:$S$83,14,FALSE)</f>
        <v>U99</v>
      </c>
      <c r="O23" s="71" t="str">
        <f>VLOOKUP(CONCATENATE(LEFT($E23,6),"02 to supplier"),'Category 814'!$E$5:$U$83,12,FALSE)</f>
        <v>C</v>
      </c>
      <c r="P23" s="41" t="str">
        <f>VLOOKUP(L23,Customer_File,14,FALSE)</f>
        <v>U000000003</v>
      </c>
      <c r="Q23" s="71" t="str">
        <f>VLOOKUP(CONCATENATE(LEFT(E23,6),"01 from supplier"),'Category 814'!$E$5:$S$83,12,FALSE)</f>
        <v>C</v>
      </c>
      <c r="R23" s="1" t="str">
        <f>VLOOKUP(CONCATENATE(LEFT($E23,6),"01 from supplier"),'Category 814'!$E$5:$S$83,15,FALSE)</f>
        <v>U000001</v>
      </c>
      <c r="S23" s="192">
        <f t="shared" si="11"/>
        <v>36013</v>
      </c>
      <c r="T23" s="192">
        <f t="shared" si="9"/>
        <v>35983</v>
      </c>
      <c r="U23" s="71" t="str">
        <f t="shared" si="10"/>
        <v>N</v>
      </c>
      <c r="V23" s="71">
        <v>1500</v>
      </c>
      <c r="W23" s="42"/>
      <c r="X23" s="42" t="s">
        <v>216</v>
      </c>
      <c r="Y23" s="42" t="s">
        <v>216</v>
      </c>
      <c r="Z23" s="42" t="s">
        <v>216</v>
      </c>
      <c r="AA23" s="42" t="s">
        <v>216</v>
      </c>
      <c r="AB23" s="42" t="s">
        <v>216</v>
      </c>
      <c r="AC23" s="42" t="s">
        <v>216</v>
      </c>
      <c r="AD23" s="42" t="s">
        <v>216</v>
      </c>
      <c r="AE23" s="42" t="s">
        <v>216</v>
      </c>
      <c r="AF23" s="75" t="s">
        <v>216</v>
      </c>
      <c r="AG23" s="1">
        <v>99</v>
      </c>
      <c r="AH23" s="41">
        <f t="shared" si="12"/>
        <v>6</v>
      </c>
      <c r="AI23" s="181">
        <f t="shared" si="13"/>
        <v>36013</v>
      </c>
      <c r="AJ23" s="44">
        <f>SUM(AV23:BD23)</f>
        <v>22.5</v>
      </c>
      <c r="AK23" s="43">
        <v>0</v>
      </c>
      <c r="AL23" s="43">
        <f>SUM(AX23,AY23,BA23)</f>
        <v>0</v>
      </c>
      <c r="AM23" s="43">
        <v>0</v>
      </c>
      <c r="AN23" s="43">
        <f>SUM(AW23,AY23,AZ23,BA23)</f>
        <v>0</v>
      </c>
      <c r="AO23" s="43">
        <v>0</v>
      </c>
      <c r="AP23" s="44">
        <f>IF(VLOOKUP(L23,Customer_File,10,FALSE)="Y",AJ23*Tax_Rate,0)</f>
        <v>1.125</v>
      </c>
      <c r="AQ23" s="43">
        <f>Int_Rate*AR23</f>
        <v>0</v>
      </c>
      <c r="AR23" s="44">
        <v>0</v>
      </c>
      <c r="AS23" s="44">
        <f>SUM(AJ23:AR23)</f>
        <v>23.625</v>
      </c>
      <c r="AT23" s="81" t="s">
        <v>216</v>
      </c>
      <c r="AU23" s="112" t="str">
        <f>CONCATENATE(N23,R23)</f>
        <v>U99U000001</v>
      </c>
      <c r="AV23" s="113">
        <f>IF(ISNUMBER(V23),VLOOKUP(AU23,Rate_Table,4,FALSE)*V23,0)</f>
        <v>22.5</v>
      </c>
      <c r="AW23" s="113">
        <f>IF(ISNUMBER(X23),VLOOKUP(AU23,Rate_Table,5,FALSE)*VALUE(X23),0)</f>
        <v>0</v>
      </c>
      <c r="AX23" s="113">
        <f>IF(ISNUMBER(Z23),VLOOKUP(AU23,Rate_Table,6,FALSE)*Z23,0)</f>
        <v>0</v>
      </c>
      <c r="AY23" s="113">
        <f>IF(ISNUMBER(AA23),VLOOKUP(AU23,Rate_Table,7,FALSE)*AA23,0)</f>
        <v>0</v>
      </c>
      <c r="AZ23" s="113">
        <f>IF(ISNUMBER(Y23),VLOOKUP(AU23,Rate_Table,8,FALSE)*Y23,0)</f>
        <v>0</v>
      </c>
      <c r="BA23" s="113">
        <f>IF(ISNUMBER(AB23),VLOOKUP(AU23,Rate_Table,9,FALSE)*AB23,0)</f>
        <v>0</v>
      </c>
      <c r="BB23" s="113" t="s">
        <v>216</v>
      </c>
      <c r="BC23" s="113" t="s">
        <v>216</v>
      </c>
      <c r="BD23" s="113" t="s">
        <v>216</v>
      </c>
    </row>
    <row r="24" spans="1:56" ht="11.25">
      <c r="A24" s="81" t="str">
        <f>CONCATENATE(B24,C24)</f>
        <v>3B15</v>
      </c>
      <c r="B24" s="1" t="s">
        <v>334</v>
      </c>
      <c r="C24" s="1">
        <v>15</v>
      </c>
      <c r="D24" s="126">
        <v>11</v>
      </c>
      <c r="E24" s="1" t="s">
        <v>555</v>
      </c>
      <c r="F24" s="9" t="s">
        <v>216</v>
      </c>
      <c r="G24" s="15" t="str">
        <f>'LDC Account Table'!$B$2</f>
        <v>LDCDUNS##</v>
      </c>
      <c r="H24" s="15" t="str">
        <f>'Supplier Account Table'!$B$2</f>
        <v>SUPDUNS##</v>
      </c>
      <c r="I24" s="179">
        <f t="shared" si="8"/>
        <v>36013</v>
      </c>
      <c r="J24" s="42" t="s">
        <v>538</v>
      </c>
      <c r="K24" s="8" t="str">
        <f>'Category 814'!L82</f>
        <v>S0000000000020</v>
      </c>
      <c r="L24" s="8" t="str">
        <f>'Category 814'!M82</f>
        <v>D0000000000020</v>
      </c>
      <c r="M24" s="63">
        <v>1</v>
      </c>
      <c r="N24" s="1" t="str">
        <f>VLOOKUP(CONCATENATE(LEFT(E24,6),"01 from supplier"),'Category 814'!$E$5:$S$83,14,FALSE)</f>
        <v>R01</v>
      </c>
      <c r="O24" s="71" t="str">
        <f>VLOOKUP(L24,Customer_File,11,FALSE)</f>
        <v>E</v>
      </c>
      <c r="P24" s="1" t="str">
        <f>VLOOKUP(L24,Customer_File,14,FALSE)</f>
        <v>M000000036</v>
      </c>
      <c r="Q24" s="71" t="str">
        <f>VLOOKUP(CONCATENATE(LEFT(E24,6),"01 from supplier"),'Category 814'!$E$5:$S$83,12,FALSE)</f>
        <v>C</v>
      </c>
      <c r="R24" s="1" t="str">
        <f>VLOOKUP(CONCATENATE(LEFT($E24,6),"01 from supplier"),'Category 814'!$E$5:$S$83,15,FALSE)</f>
        <v>R000001</v>
      </c>
      <c r="S24" s="192">
        <f>VLOOKUP(AH24,July,2,FALSE)</f>
        <v>35998</v>
      </c>
      <c r="T24" s="192">
        <f>S24-30</f>
        <v>35968</v>
      </c>
      <c r="U24" s="71" t="str">
        <f t="shared" si="10"/>
        <v>N</v>
      </c>
      <c r="V24" s="71">
        <v>500</v>
      </c>
      <c r="W24" s="42"/>
      <c r="X24" s="42" t="s">
        <v>216</v>
      </c>
      <c r="Y24" s="42" t="s">
        <v>216</v>
      </c>
      <c r="Z24" s="42" t="s">
        <v>216</v>
      </c>
      <c r="AA24" s="42" t="s">
        <v>216</v>
      </c>
      <c r="AB24" s="42" t="s">
        <v>216</v>
      </c>
      <c r="AC24" s="42" t="s">
        <v>216</v>
      </c>
      <c r="AD24" s="42" t="s">
        <v>216</v>
      </c>
      <c r="AE24" s="42" t="s">
        <v>216</v>
      </c>
      <c r="AF24" s="75" t="s">
        <v>216</v>
      </c>
      <c r="AG24" s="42" t="s">
        <v>216</v>
      </c>
      <c r="AH24" s="41">
        <f t="shared" si="12"/>
        <v>15</v>
      </c>
      <c r="AI24" s="181">
        <f t="shared" si="13"/>
        <v>35998</v>
      </c>
      <c r="AJ24" s="44">
        <f>SUM(AV24:BD24)</f>
        <v>14</v>
      </c>
      <c r="AK24" s="43">
        <v>0</v>
      </c>
      <c r="AL24" s="43">
        <f>SUM(AX24,AY24,BA24)</f>
        <v>0</v>
      </c>
      <c r="AM24" s="43">
        <v>0</v>
      </c>
      <c r="AN24" s="43">
        <f>SUM(AW24,AY24,AZ24,BA24)</f>
        <v>0</v>
      </c>
      <c r="AO24" s="43">
        <v>0</v>
      </c>
      <c r="AP24" s="44">
        <f>IF(VLOOKUP(L24,Customer_File,10,FALSE)="Y",AJ24*Tax_Rate,0)</f>
        <v>0</v>
      </c>
      <c r="AQ24" s="43">
        <f>Int_Rate*AR24</f>
        <v>0</v>
      </c>
      <c r="AR24" s="44">
        <v>0</v>
      </c>
      <c r="AS24" s="44">
        <f>SUM(AJ24:AR24)</f>
        <v>14</v>
      </c>
      <c r="AT24" s="81" t="s">
        <v>216</v>
      </c>
      <c r="AU24" s="112" t="str">
        <f>CONCATENATE(N24,R24)</f>
        <v>R01R000001</v>
      </c>
      <c r="AV24" s="113">
        <f>IF(ISNUMBER(V24),VLOOKUP(AU24,Rate_Table,4,FALSE)*V24,0)</f>
        <v>14</v>
      </c>
      <c r="AW24" s="113">
        <f>IF(ISNUMBER(X24),VLOOKUP(AU24,Rate_Table,5,FALSE)*VALUE(X24),0)</f>
        <v>0</v>
      </c>
      <c r="AX24" s="113">
        <f>IF(ISNUMBER(Z24),VLOOKUP(AU24,Rate_Table,6,FALSE)*Z24,0)</f>
        <v>0</v>
      </c>
      <c r="AY24" s="113">
        <f>IF(ISNUMBER(AA24),VLOOKUP(AU24,Rate_Table,7,FALSE)*AA24,0)</f>
        <v>0</v>
      </c>
      <c r="AZ24" s="113">
        <f>IF(ISNUMBER(Y24),VLOOKUP(AU24,Rate_Table,8,FALSE)*Y24,0)</f>
        <v>0</v>
      </c>
      <c r="BA24" s="113">
        <f>IF(ISNUMBER(AB24),VLOOKUP(AU24,Rate_Table,9,FALSE)*AB24,0)</f>
        <v>0</v>
      </c>
      <c r="BB24" s="113" t="s">
        <v>216</v>
      </c>
      <c r="BC24" s="113" t="s">
        <v>216</v>
      </c>
      <c r="BD24" s="113" t="s">
        <v>216</v>
      </c>
    </row>
    <row r="25" spans="1:56" ht="11.25">
      <c r="A25" s="81" t="str">
        <f>CONCATENATE(B25,C25)</f>
        <v>3B16</v>
      </c>
      <c r="B25" s="1" t="s">
        <v>334</v>
      </c>
      <c r="C25" s="1">
        <v>16</v>
      </c>
      <c r="D25" s="126">
        <v>11</v>
      </c>
      <c r="E25" s="1" t="s">
        <v>556</v>
      </c>
      <c r="F25" s="9" t="s">
        <v>216</v>
      </c>
      <c r="G25" s="15" t="str">
        <f>'LDC Account Table'!$B$2</f>
        <v>LDCDUNS##</v>
      </c>
      <c r="H25" s="15" t="str">
        <f>'Supplier Account Table'!$B$2</f>
        <v>SUPDUNS##</v>
      </c>
      <c r="I25" s="179">
        <f t="shared" si="8"/>
        <v>36013</v>
      </c>
      <c r="J25" s="42" t="s">
        <v>538</v>
      </c>
      <c r="K25" s="8" t="str">
        <f>'Category 814'!L83</f>
        <v>S0000000000020</v>
      </c>
      <c r="L25" s="8" t="str">
        <f>'Category 814'!M83</f>
        <v>D0000000000020</v>
      </c>
      <c r="M25" s="63">
        <v>4</v>
      </c>
      <c r="N25" s="1" t="str">
        <f>VLOOKUP(CONCATENATE(LEFT(E25,6),"01 from supplier"),'Category 814'!$E$5:$S$83,14,FALSE)</f>
        <v>R01</v>
      </c>
      <c r="O25" s="71" t="str">
        <f>VLOOKUP(L25,Customer_File,11,FALSE)</f>
        <v>E</v>
      </c>
      <c r="P25" s="1" t="str">
        <f>VLOOKUP(L25,Customer_File,14,FALSE)</f>
        <v>M000000036</v>
      </c>
      <c r="Q25" s="71" t="str">
        <f>VLOOKUP(CONCATENATE(LEFT(E25,6),"01 from supplier"),'Category 814'!$E$5:$S$83,12,FALSE)</f>
        <v>C</v>
      </c>
      <c r="R25" s="1" t="str">
        <f>VLOOKUP(CONCATENATE(LEFT($E25,6),"01 from supplier"),'Category 814'!$E$5:$S$83,15,FALSE)</f>
        <v>R000001</v>
      </c>
      <c r="S25" s="192">
        <f>VLOOKUP(AH25,July,2,FALSE)</f>
        <v>35998</v>
      </c>
      <c r="T25" s="192">
        <f>S25-30</f>
        <v>35968</v>
      </c>
      <c r="U25" s="71" t="str">
        <f t="shared" si="10"/>
        <v>N</v>
      </c>
      <c r="V25" s="71">
        <v>300</v>
      </c>
      <c r="W25" s="42"/>
      <c r="X25" s="42" t="s">
        <v>216</v>
      </c>
      <c r="Y25" s="42" t="s">
        <v>216</v>
      </c>
      <c r="Z25" s="42" t="s">
        <v>216</v>
      </c>
      <c r="AA25" s="42" t="s">
        <v>216</v>
      </c>
      <c r="AB25" s="42" t="s">
        <v>216</v>
      </c>
      <c r="AC25" s="42" t="s">
        <v>216</v>
      </c>
      <c r="AD25" s="42" t="s">
        <v>216</v>
      </c>
      <c r="AE25" s="42" t="s">
        <v>216</v>
      </c>
      <c r="AF25" s="75" t="s">
        <v>216</v>
      </c>
      <c r="AG25" s="42" t="s">
        <v>216</v>
      </c>
      <c r="AH25" s="41">
        <f t="shared" si="12"/>
        <v>15</v>
      </c>
      <c r="AI25" s="181">
        <f t="shared" si="13"/>
        <v>35998</v>
      </c>
      <c r="AJ25" s="44">
        <f>SUM(AV25:BD25)</f>
        <v>8.4</v>
      </c>
      <c r="AK25" s="43">
        <v>0</v>
      </c>
      <c r="AL25" s="43">
        <f>SUM(AX25,AY25,BA25)</f>
        <v>0</v>
      </c>
      <c r="AM25" s="43">
        <v>0</v>
      </c>
      <c r="AN25" s="43">
        <f>SUM(AW25,AY25,AZ25,BA25)</f>
        <v>0</v>
      </c>
      <c r="AO25" s="43">
        <v>0</v>
      </c>
      <c r="AP25" s="44">
        <f>IF(VLOOKUP(L25,Customer_File,10,FALSE)="Y",AJ25*Tax_Rate,0)</f>
        <v>0</v>
      </c>
      <c r="AQ25" s="43">
        <f>Int_Rate*AR25</f>
        <v>0</v>
      </c>
      <c r="AR25" s="44">
        <v>0</v>
      </c>
      <c r="AS25" s="44">
        <f>SUM(AJ25:AR25)</f>
        <v>8.4</v>
      </c>
      <c r="AT25" s="81" t="s">
        <v>216</v>
      </c>
      <c r="AU25" s="112" t="str">
        <f>CONCATENATE(N25,R25)</f>
        <v>R01R000001</v>
      </c>
      <c r="AV25" s="113">
        <f>IF(ISNUMBER(V25),VLOOKUP(AU25,Rate_Table,4,FALSE)*V25,0)</f>
        <v>8.4</v>
      </c>
      <c r="AW25" s="113">
        <f>IF(ISNUMBER(X25),VLOOKUP(AU25,Rate_Table,5,FALSE)*VALUE(X25),0)</f>
        <v>0</v>
      </c>
      <c r="AX25" s="113">
        <f>IF(ISNUMBER(Z25),VLOOKUP(AU25,Rate_Table,6,FALSE)*Z25,0)</f>
        <v>0</v>
      </c>
      <c r="AY25" s="113">
        <f>IF(ISNUMBER(AA25),VLOOKUP(AU25,Rate_Table,7,FALSE)*AA25,0)</f>
        <v>0</v>
      </c>
      <c r="AZ25" s="113">
        <f>IF(ISNUMBER(Y25),VLOOKUP(AU25,Rate_Table,8,FALSE)*Y25,0)</f>
        <v>0</v>
      </c>
      <c r="BA25" s="113">
        <f>IF(ISNUMBER(AB25),VLOOKUP(AU25,Rate_Table,9,FALSE)*AB25,0)</f>
        <v>0</v>
      </c>
      <c r="BB25" s="113" t="s">
        <v>216</v>
      </c>
      <c r="BC25" s="113" t="s">
        <v>216</v>
      </c>
      <c r="BD25" s="113" t="s">
        <v>216</v>
      </c>
    </row>
  </sheetData>
  <printOptions/>
  <pageMargins left="0.75" right="0.75" top="1" bottom="1" header="0.5" footer="0.5"/>
  <pageSetup fitToHeight="3" horizontalDpi="600" verticalDpi="600" orientation="landscape" scale="75" r:id="rId1"/>
  <headerFooter alignWithMargins="0">
    <oddHeader>&amp;CEBT Test Conditions
&amp;A</oddHeader>
    <oddFooter>&amp;LVersion 5.0&amp;CPage &amp;P&amp;RIssued:  June 25, 1999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11"/>
  <sheetViews>
    <sheetView workbookViewId="0" topLeftCell="B1">
      <pane xSplit="3390" topLeftCell="E2" activePane="topLeft" state="split"/>
      <selection pane="topLeft" activeCell="A2" sqref="A1:IV16384"/>
      <selection pane="topRight" activeCell="F9" sqref="F9"/>
      <selection pane="topLeft" activeCell="J21" sqref="J21"/>
    </sheetView>
  </sheetViews>
  <sheetFormatPr defaultColWidth="9.140625" defaultRowHeight="12.75"/>
  <cols>
    <col min="1" max="1" width="0" style="10" hidden="1" customWidth="1"/>
    <col min="2" max="3" width="3.28125" style="10" customWidth="1"/>
    <col min="4" max="4" width="5.57421875" style="10" customWidth="1"/>
    <col min="5" max="5" width="32.421875" style="10" customWidth="1"/>
    <col min="6" max="6" width="1.28515625" style="11" customWidth="1"/>
    <col min="7" max="7" width="11.57421875" style="10" customWidth="1"/>
    <col min="8" max="8" width="12.00390625" style="10" customWidth="1"/>
    <col min="9" max="9" width="8.8515625" style="10" customWidth="1"/>
    <col min="10" max="10" width="14.57421875" style="10" customWidth="1"/>
    <col min="11" max="11" width="12.421875" style="10" customWidth="1"/>
    <col min="12" max="12" width="13.140625" style="10" customWidth="1"/>
    <col min="13" max="13" width="13.00390625" style="10" customWidth="1"/>
    <col min="14" max="16384" width="8.8515625" style="10" customWidth="1"/>
  </cols>
  <sheetData>
    <row r="1" spans="2:16" ht="45">
      <c r="B1" s="10" t="s">
        <v>216</v>
      </c>
      <c r="C1" s="10" t="s">
        <v>216</v>
      </c>
      <c r="D1" s="7" t="s">
        <v>494</v>
      </c>
      <c r="E1" s="196" t="s">
        <v>557</v>
      </c>
      <c r="F1" s="195" t="s">
        <v>216</v>
      </c>
      <c r="G1" s="54" t="s">
        <v>374</v>
      </c>
      <c r="H1" s="198"/>
      <c r="I1" s="198"/>
      <c r="J1" s="198"/>
      <c r="K1" s="198"/>
      <c r="L1" s="55" t="s">
        <v>216</v>
      </c>
      <c r="M1" s="55" t="s">
        <v>216</v>
      </c>
      <c r="N1" s="55" t="s">
        <v>216</v>
      </c>
      <c r="O1" s="55" t="s">
        <v>216</v>
      </c>
      <c r="P1" s="56" t="s">
        <v>216</v>
      </c>
    </row>
    <row r="2" spans="2:16" ht="11.25">
      <c r="B2" s="10" t="s">
        <v>216</v>
      </c>
      <c r="C2" s="10" t="s">
        <v>216</v>
      </c>
      <c r="D2" s="1" t="s">
        <v>558</v>
      </c>
      <c r="E2" s="6" t="s">
        <v>559</v>
      </c>
      <c r="F2" s="169" t="s">
        <v>216</v>
      </c>
      <c r="G2" s="24">
        <v>1</v>
      </c>
      <c r="H2" s="24">
        <v>2</v>
      </c>
      <c r="I2" s="24">
        <v>3</v>
      </c>
      <c r="J2" s="24">
        <v>4</v>
      </c>
      <c r="K2" s="24">
        <v>5</v>
      </c>
      <c r="L2" s="24">
        <v>6</v>
      </c>
      <c r="M2" s="24">
        <v>7</v>
      </c>
      <c r="N2" s="24">
        <v>8</v>
      </c>
      <c r="O2" s="24">
        <v>10</v>
      </c>
      <c r="P2" s="24">
        <v>9</v>
      </c>
    </row>
    <row r="3" spans="2:16" s="2" customFormat="1" ht="63" customHeight="1" thickBot="1">
      <c r="B3" s="57" t="s">
        <v>377</v>
      </c>
      <c r="C3" s="57" t="s">
        <v>378</v>
      </c>
      <c r="D3" s="57" t="s">
        <v>379</v>
      </c>
      <c r="E3" s="58" t="s">
        <v>380</v>
      </c>
      <c r="F3" s="4" t="s">
        <v>216</v>
      </c>
      <c r="G3" s="109" t="s">
        <v>381</v>
      </c>
      <c r="H3" s="109" t="s">
        <v>382</v>
      </c>
      <c r="I3" s="109" t="s">
        <v>383</v>
      </c>
      <c r="J3" s="3" t="s">
        <v>560</v>
      </c>
      <c r="K3" s="3" t="s">
        <v>561</v>
      </c>
      <c r="L3" s="3" t="s">
        <v>386</v>
      </c>
      <c r="M3" s="3" t="s">
        <v>189</v>
      </c>
      <c r="N3" s="3" t="s">
        <v>562</v>
      </c>
      <c r="O3" s="3" t="s">
        <v>563</v>
      </c>
      <c r="P3" s="3" t="s">
        <v>564</v>
      </c>
    </row>
    <row r="4" spans="2:16" ht="12" thickBot="1">
      <c r="B4" s="46" t="s">
        <v>216</v>
      </c>
      <c r="C4" s="46" t="s">
        <v>216</v>
      </c>
      <c r="D4" s="46" t="s">
        <v>216</v>
      </c>
      <c r="E4" s="46" t="s">
        <v>216</v>
      </c>
      <c r="F4" s="9" t="s">
        <v>216</v>
      </c>
      <c r="G4" s="19" t="s">
        <v>409</v>
      </c>
      <c r="H4" s="19" t="s">
        <v>409</v>
      </c>
      <c r="I4" s="19" t="s">
        <v>410</v>
      </c>
      <c r="J4" s="22" t="s">
        <v>530</v>
      </c>
      <c r="K4" s="22" t="s">
        <v>410</v>
      </c>
      <c r="L4" s="23" t="s">
        <v>413</v>
      </c>
      <c r="M4" s="23" t="s">
        <v>413</v>
      </c>
      <c r="N4" s="22" t="s">
        <v>415</v>
      </c>
      <c r="O4" s="22" t="s">
        <v>532</v>
      </c>
      <c r="P4" s="22" t="s">
        <v>536</v>
      </c>
    </row>
    <row r="5" spans="1:16" s="81" customFormat="1" ht="11.25">
      <c r="A5" s="81" t="str">
        <f aca="true" t="shared" si="0" ref="A5:A10">CONCATENATE(B5,C5)</f>
        <v>3B17</v>
      </c>
      <c r="B5" s="108" t="s">
        <v>334</v>
      </c>
      <c r="C5" s="108">
        <v>17</v>
      </c>
      <c r="D5" s="108">
        <v>12</v>
      </c>
      <c r="E5" s="108" t="s">
        <v>565</v>
      </c>
      <c r="F5" s="9" t="s">
        <v>216</v>
      </c>
      <c r="G5" s="15" t="str">
        <f>'LDC Account Table'!$B$2</f>
        <v>LDCDUNS##</v>
      </c>
      <c r="H5" s="15" t="str">
        <f>'Supplier Account Table'!$B$2</f>
        <v>SUPDUNS##</v>
      </c>
      <c r="I5" s="179">
        <f aca="true" t="shared" si="1" ref="I5:I10">VLOOKUP(B5,File_Dates,2,FALSE)</f>
        <v>36013</v>
      </c>
      <c r="J5" s="134" t="s">
        <v>566</v>
      </c>
      <c r="K5" s="197">
        <f aca="true" t="shared" si="2" ref="K5:K10">I5+3</f>
        <v>36016</v>
      </c>
      <c r="L5" s="17" t="str">
        <f>'Category 810'!K5</f>
        <v>S0000000000004</v>
      </c>
      <c r="M5" s="17" t="str">
        <f>'Category 810'!L5</f>
        <v>D000000000003A</v>
      </c>
      <c r="N5" s="39" t="s">
        <v>176</v>
      </c>
      <c r="O5" s="181">
        <f aca="true" t="shared" si="3" ref="O5:O10">VLOOKUP(B5,Process_Date,2,FALSE)</f>
        <v>36013</v>
      </c>
      <c r="P5" s="43">
        <v>-44.07</v>
      </c>
    </row>
    <row r="6" spans="1:16" ht="11.25">
      <c r="A6" s="81" t="str">
        <f t="shared" si="0"/>
        <v>4B1</v>
      </c>
      <c r="B6" s="1" t="s">
        <v>124</v>
      </c>
      <c r="C6" s="1">
        <v>1</v>
      </c>
      <c r="D6" s="1">
        <v>12</v>
      </c>
      <c r="E6" s="1" t="s">
        <v>567</v>
      </c>
      <c r="F6" s="9" t="s">
        <v>216</v>
      </c>
      <c r="G6" s="15" t="str">
        <f>'LDC Account Table'!$B$2</f>
        <v>LDCDUNS##</v>
      </c>
      <c r="H6" s="15" t="str">
        <f>'Supplier Account Table'!$B$2</f>
        <v>SUPDUNS##</v>
      </c>
      <c r="I6" s="179">
        <f t="shared" si="1"/>
        <v>36028</v>
      </c>
      <c r="J6" s="134" t="s">
        <v>566</v>
      </c>
      <c r="K6" s="197">
        <f t="shared" si="2"/>
        <v>36031</v>
      </c>
      <c r="L6" s="8" t="str">
        <f>'Category 810'!K13</f>
        <v>S0000000000011</v>
      </c>
      <c r="M6" s="8" t="str">
        <f>'Category 810'!L13</f>
        <v>D0000000000011</v>
      </c>
      <c r="N6" s="8" t="s">
        <v>176</v>
      </c>
      <c r="O6" s="181">
        <f t="shared" si="3"/>
        <v>36028</v>
      </c>
      <c r="P6" s="43">
        <f>'Category 810'!AS13*-1</f>
        <v>-16.8</v>
      </c>
    </row>
    <row r="7" spans="1:16" ht="11.25">
      <c r="A7" s="81" t="str">
        <f t="shared" si="0"/>
        <v>4B2</v>
      </c>
      <c r="B7" s="1" t="s">
        <v>124</v>
      </c>
      <c r="C7" s="1">
        <v>2</v>
      </c>
      <c r="D7" s="1">
        <v>12</v>
      </c>
      <c r="E7" s="1" t="s">
        <v>568</v>
      </c>
      <c r="F7" s="9" t="s">
        <v>216</v>
      </c>
      <c r="G7" s="15" t="str">
        <f>'LDC Account Table'!$B$2</f>
        <v>LDCDUNS##</v>
      </c>
      <c r="H7" s="15" t="str">
        <f>'Supplier Account Table'!$B$2</f>
        <v>SUPDUNS##</v>
      </c>
      <c r="I7" s="179">
        <f t="shared" si="1"/>
        <v>36028</v>
      </c>
      <c r="J7" s="134" t="s">
        <v>566</v>
      </c>
      <c r="K7" s="197">
        <f t="shared" si="2"/>
        <v>36031</v>
      </c>
      <c r="L7" s="8" t="str">
        <f>'Category 810'!K14</f>
        <v>S0000000000012</v>
      </c>
      <c r="M7" s="8" t="str">
        <f>'Category 810'!L14</f>
        <v>D0000000000012</v>
      </c>
      <c r="N7" s="8" t="s">
        <v>176</v>
      </c>
      <c r="O7" s="181">
        <f t="shared" si="3"/>
        <v>36028</v>
      </c>
      <c r="P7" s="43">
        <v>-5.6</v>
      </c>
    </row>
    <row r="8" spans="1:16" ht="11.25">
      <c r="A8" s="81" t="str">
        <f t="shared" si="0"/>
        <v>4B4</v>
      </c>
      <c r="B8" s="1" t="s">
        <v>124</v>
      </c>
      <c r="C8" s="1">
        <v>4</v>
      </c>
      <c r="D8" s="1">
        <v>12</v>
      </c>
      <c r="E8" s="1" t="s">
        <v>569</v>
      </c>
      <c r="F8" s="9" t="s">
        <v>216</v>
      </c>
      <c r="G8" s="15" t="str">
        <f>'LDC Account Table'!$B$2</f>
        <v>LDCDUNS##</v>
      </c>
      <c r="H8" s="15" t="str">
        <f>'Supplier Account Table'!$B$2</f>
        <v>SUPDUNS##</v>
      </c>
      <c r="I8" s="179">
        <f t="shared" si="1"/>
        <v>36028</v>
      </c>
      <c r="J8" s="134" t="s">
        <v>566</v>
      </c>
      <c r="K8" s="197">
        <f t="shared" si="2"/>
        <v>36031</v>
      </c>
      <c r="L8" s="12" t="str">
        <f>L5</f>
        <v>S0000000000004</v>
      </c>
      <c r="M8" s="12" t="str">
        <f>M5</f>
        <v>D000000000003A</v>
      </c>
      <c r="N8" s="8" t="s">
        <v>570</v>
      </c>
      <c r="O8" s="181">
        <f t="shared" si="3"/>
        <v>36028</v>
      </c>
      <c r="P8" s="43">
        <v>44.07</v>
      </c>
    </row>
    <row r="9" spans="1:16" ht="11.25">
      <c r="A9" s="81" t="str">
        <f t="shared" si="0"/>
        <v>4B3</v>
      </c>
      <c r="B9" s="1" t="s">
        <v>124</v>
      </c>
      <c r="C9" s="1">
        <v>3</v>
      </c>
      <c r="D9" s="1">
        <v>12</v>
      </c>
      <c r="E9" s="1" t="s">
        <v>571</v>
      </c>
      <c r="F9" s="9" t="s">
        <v>216</v>
      </c>
      <c r="G9" s="15" t="str">
        <f>'LDC Account Table'!$B$2</f>
        <v>LDCDUNS##</v>
      </c>
      <c r="H9" s="15" t="str">
        <f>'Supplier Account Table'!$B$2</f>
        <v>SUPDUNS##</v>
      </c>
      <c r="I9" s="179">
        <f t="shared" si="1"/>
        <v>36028</v>
      </c>
      <c r="J9" s="134" t="s">
        <v>566</v>
      </c>
      <c r="K9" s="197">
        <f t="shared" si="2"/>
        <v>36031</v>
      </c>
      <c r="L9" s="12" t="str">
        <f>L5</f>
        <v>S0000000000004</v>
      </c>
      <c r="M9" s="12" t="str">
        <f>M5</f>
        <v>D000000000003A</v>
      </c>
      <c r="N9" s="8" t="s">
        <v>572</v>
      </c>
      <c r="O9" s="181">
        <f t="shared" si="3"/>
        <v>36028</v>
      </c>
      <c r="P9" s="43">
        <v>44.07</v>
      </c>
    </row>
    <row r="10" spans="1:16" ht="11.25">
      <c r="A10" s="81" t="str">
        <f t="shared" si="0"/>
        <v>2B14</v>
      </c>
      <c r="B10" s="1" t="s">
        <v>50</v>
      </c>
      <c r="C10" s="1">
        <v>14</v>
      </c>
      <c r="D10" s="1">
        <v>12</v>
      </c>
      <c r="E10" s="1" t="s">
        <v>573</v>
      </c>
      <c r="F10" s="9"/>
      <c r="G10" s="15" t="str">
        <f>'LDC Account Table'!$B$2</f>
        <v>LDCDUNS##</v>
      </c>
      <c r="H10" s="15" t="str">
        <f>'Supplier Account Table'!$B$2</f>
        <v>SUPDUNS##</v>
      </c>
      <c r="I10" s="179">
        <f t="shared" si="1"/>
        <v>35982</v>
      </c>
      <c r="J10" s="134" t="s">
        <v>566</v>
      </c>
      <c r="K10" s="197">
        <f t="shared" si="2"/>
        <v>35985</v>
      </c>
      <c r="L10" s="1" t="str">
        <f>'Supplier Account Table'!A27</f>
        <v>S0000000000022</v>
      </c>
      <c r="M10" s="1" t="str">
        <f>'Test Customer Information'!A25</f>
        <v>D0000000000022</v>
      </c>
      <c r="N10" s="8" t="s">
        <v>574</v>
      </c>
      <c r="O10" s="181">
        <f t="shared" si="3"/>
        <v>35982</v>
      </c>
      <c r="P10" s="43">
        <v>-116</v>
      </c>
    </row>
    <row r="11" spans="2:16" ht="7.5" customHeight="1">
      <c r="B11" s="11"/>
      <c r="C11" s="11"/>
      <c r="D11" s="11"/>
      <c r="E11" s="11"/>
      <c r="G11" s="11"/>
      <c r="H11" s="11"/>
      <c r="I11" s="11"/>
      <c r="J11" s="11"/>
      <c r="K11" s="11"/>
      <c r="L11" s="11"/>
      <c r="M11" s="11"/>
      <c r="N11" s="11"/>
      <c r="O11" s="11"/>
      <c r="P11" s="11"/>
    </row>
  </sheetData>
  <printOptions/>
  <pageMargins left="0.75" right="0.75" top="1" bottom="1" header="0.5" footer="0.5"/>
  <pageSetup fitToHeight="3" fitToWidth="1" horizontalDpi="600" verticalDpi="600" orientation="landscape" scale="76" r:id="rId1"/>
  <headerFooter alignWithMargins="0">
    <oddHeader>&amp;CEBT Test Conditions
&amp;A</oddHeader>
    <oddFooter>&amp;LVersion 5.0&amp;CPage &amp;P&amp;RIssued:  June 25, 1999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Q5"/>
  <sheetViews>
    <sheetView workbookViewId="0" topLeftCell="B1">
      <selection activeCell="A1" sqref="A1"/>
      <selection activeCell="E8" sqref="E8"/>
    </sheetView>
  </sheetViews>
  <sheetFormatPr defaultColWidth="9.140625" defaultRowHeight="12.75"/>
  <cols>
    <col min="1" max="1" width="0" style="0" hidden="1" customWidth="1"/>
    <col min="2" max="2" width="3.28125" style="0" customWidth="1"/>
    <col min="3" max="3" width="3.00390625" style="0" customWidth="1"/>
    <col min="4" max="4" width="10.421875" style="0" customWidth="1"/>
    <col min="5" max="5" width="42.421875" style="0" customWidth="1"/>
    <col min="6" max="6" width="1.8515625" style="0" customWidth="1"/>
    <col min="7" max="10" width="10.140625" style="0" customWidth="1"/>
    <col min="11" max="12" width="13.140625" style="0" customWidth="1"/>
    <col min="27" max="43" width="8.8515625" style="176" customWidth="1"/>
  </cols>
  <sheetData>
    <row r="1" spans="2:43" s="10" customFormat="1" ht="22.5">
      <c r="B1" s="10" t="s">
        <v>216</v>
      </c>
      <c r="C1" s="10" t="s">
        <v>216</v>
      </c>
      <c r="D1" s="7" t="s">
        <v>494</v>
      </c>
      <c r="E1" s="53" t="s">
        <v>575</v>
      </c>
      <c r="F1" s="170" t="s">
        <v>216</v>
      </c>
      <c r="G1" s="54" t="s">
        <v>374</v>
      </c>
      <c r="H1" s="198"/>
      <c r="I1" s="198"/>
      <c r="J1" s="198"/>
      <c r="K1" s="55" t="s">
        <v>216</v>
      </c>
      <c r="L1" s="56" t="s">
        <v>216</v>
      </c>
      <c r="M1" s="202" t="s">
        <v>216</v>
      </c>
      <c r="AA1" s="95"/>
      <c r="AB1" s="95"/>
      <c r="AC1" s="95"/>
      <c r="AD1" s="95"/>
      <c r="AE1" s="95"/>
      <c r="AF1" s="95"/>
      <c r="AG1" s="95"/>
      <c r="AH1" s="95"/>
      <c r="AI1" s="95"/>
      <c r="AJ1" s="95"/>
      <c r="AK1" s="95"/>
      <c r="AL1" s="95"/>
      <c r="AM1" s="95"/>
      <c r="AN1" s="95"/>
      <c r="AO1" s="95"/>
      <c r="AP1" s="95"/>
      <c r="AQ1" s="95"/>
    </row>
    <row r="2" spans="2:43" s="10" customFormat="1" ht="11.25">
      <c r="B2" s="10" t="s">
        <v>216</v>
      </c>
      <c r="C2" s="10" t="s">
        <v>216</v>
      </c>
      <c r="D2" s="1" t="s">
        <v>576</v>
      </c>
      <c r="E2" s="6" t="s">
        <v>577</v>
      </c>
      <c r="F2" s="169" t="s">
        <v>216</v>
      </c>
      <c r="G2" s="24">
        <v>1</v>
      </c>
      <c r="H2" s="24">
        <v>2</v>
      </c>
      <c r="I2" s="24">
        <v>3</v>
      </c>
      <c r="J2" s="24">
        <v>4</v>
      </c>
      <c r="K2" s="24">
        <v>5</v>
      </c>
      <c r="L2" s="24">
        <v>6</v>
      </c>
      <c r="M2" s="24">
        <v>40</v>
      </c>
      <c r="N2" s="24">
        <v>41</v>
      </c>
      <c r="O2" s="24">
        <v>42</v>
      </c>
      <c r="P2" s="24">
        <v>43</v>
      </c>
      <c r="Q2" s="24">
        <v>44</v>
      </c>
      <c r="R2" s="24">
        <v>45</v>
      </c>
      <c r="S2" s="24">
        <v>46</v>
      </c>
      <c r="T2" s="24">
        <v>47</v>
      </c>
      <c r="U2" s="24">
        <v>48</v>
      </c>
      <c r="V2" s="24">
        <v>49</v>
      </c>
      <c r="W2" s="24">
        <v>50</v>
      </c>
      <c r="X2" s="24">
        <v>51</v>
      </c>
      <c r="Y2" s="24">
        <v>52</v>
      </c>
      <c r="Z2" s="24">
        <v>53</v>
      </c>
      <c r="AA2" s="95"/>
      <c r="AB2" s="95"/>
      <c r="AC2" s="95"/>
      <c r="AD2" s="95"/>
      <c r="AE2" s="95"/>
      <c r="AF2" s="95"/>
      <c r="AG2" s="95"/>
      <c r="AH2" s="95"/>
      <c r="AI2" s="95"/>
      <c r="AJ2" s="95"/>
      <c r="AK2" s="95"/>
      <c r="AL2" s="95"/>
      <c r="AM2" s="95"/>
      <c r="AN2" s="95"/>
      <c r="AO2" s="95"/>
      <c r="AP2" s="95"/>
      <c r="AQ2" s="95"/>
    </row>
    <row r="3" spans="2:43" s="10" customFormat="1" ht="63" customHeight="1" thickBot="1">
      <c r="B3" s="165" t="s">
        <v>377</v>
      </c>
      <c r="C3" s="165" t="s">
        <v>378</v>
      </c>
      <c r="D3" s="165" t="s">
        <v>379</v>
      </c>
      <c r="E3" s="7" t="s">
        <v>380</v>
      </c>
      <c r="F3" s="9" t="s">
        <v>216</v>
      </c>
      <c r="G3" s="109" t="s">
        <v>381</v>
      </c>
      <c r="H3" s="109" t="s">
        <v>382</v>
      </c>
      <c r="I3" s="109" t="s">
        <v>383</v>
      </c>
      <c r="J3" s="3" t="s">
        <v>499</v>
      </c>
      <c r="K3" s="3" t="s">
        <v>386</v>
      </c>
      <c r="L3" s="3" t="s">
        <v>189</v>
      </c>
      <c r="M3" s="3" t="s">
        <v>387</v>
      </c>
      <c r="N3" s="3" t="s">
        <v>578</v>
      </c>
      <c r="O3" s="3" t="s">
        <v>579</v>
      </c>
      <c r="P3" s="3" t="s">
        <v>580</v>
      </c>
      <c r="Q3" s="3" t="s">
        <v>581</v>
      </c>
      <c r="R3" s="3" t="s">
        <v>582</v>
      </c>
      <c r="S3" s="3" t="s">
        <v>583</v>
      </c>
      <c r="T3" s="3" t="s">
        <v>580</v>
      </c>
      <c r="U3" s="3" t="s">
        <v>581</v>
      </c>
      <c r="V3" s="3" t="s">
        <v>584</v>
      </c>
      <c r="W3" s="3" t="s">
        <v>585</v>
      </c>
      <c r="X3" s="3" t="s">
        <v>580</v>
      </c>
      <c r="Y3" s="3" t="s">
        <v>581</v>
      </c>
      <c r="Z3" s="3" t="s">
        <v>586</v>
      </c>
      <c r="AA3" s="95"/>
      <c r="AB3" s="95"/>
      <c r="AC3" s="95"/>
      <c r="AD3" s="95"/>
      <c r="AE3" s="95"/>
      <c r="AF3" s="95"/>
      <c r="AG3" s="95"/>
      <c r="AH3" s="95"/>
      <c r="AI3" s="95"/>
      <c r="AJ3" s="95"/>
      <c r="AK3" s="95"/>
      <c r="AL3" s="95"/>
      <c r="AM3" s="95"/>
      <c r="AN3" s="95"/>
      <c r="AO3" s="95"/>
      <c r="AP3" s="95"/>
      <c r="AQ3" s="95"/>
    </row>
    <row r="4" spans="2:43" s="10" customFormat="1" ht="12" customHeight="1" thickBot="1">
      <c r="B4" s="165"/>
      <c r="C4" s="165"/>
      <c r="D4" s="165"/>
      <c r="E4" s="7"/>
      <c r="F4" s="201"/>
      <c r="G4" s="19" t="s">
        <v>409</v>
      </c>
      <c r="H4" s="19" t="s">
        <v>409</v>
      </c>
      <c r="I4" s="19" t="s">
        <v>410</v>
      </c>
      <c r="J4" s="22" t="s">
        <v>530</v>
      </c>
      <c r="K4" s="22" t="s">
        <v>413</v>
      </c>
      <c r="L4" s="22" t="s">
        <v>413</v>
      </c>
      <c r="M4" s="22" t="s">
        <v>414</v>
      </c>
      <c r="N4" s="22" t="s">
        <v>410</v>
      </c>
      <c r="O4" s="22" t="s">
        <v>410</v>
      </c>
      <c r="P4" s="22" t="s">
        <v>533</v>
      </c>
      <c r="Q4" s="22" t="s">
        <v>536</v>
      </c>
      <c r="R4" s="22" t="s">
        <v>410</v>
      </c>
      <c r="S4" s="22" t="s">
        <v>410</v>
      </c>
      <c r="T4" s="22" t="s">
        <v>533</v>
      </c>
      <c r="U4" s="22" t="s">
        <v>536</v>
      </c>
      <c r="V4" s="22" t="s">
        <v>410</v>
      </c>
      <c r="W4" s="22" t="s">
        <v>410</v>
      </c>
      <c r="X4" s="22" t="s">
        <v>533</v>
      </c>
      <c r="Y4" s="22" t="s">
        <v>536</v>
      </c>
      <c r="Z4" s="22" t="s">
        <v>536</v>
      </c>
      <c r="AA4" s="95"/>
      <c r="AB4" s="95"/>
      <c r="AC4" s="95"/>
      <c r="AD4" s="95"/>
      <c r="AE4" s="95"/>
      <c r="AF4" s="95"/>
      <c r="AG4" s="95"/>
      <c r="AH4" s="95"/>
      <c r="AI4" s="95"/>
      <c r="AJ4" s="95"/>
      <c r="AK4" s="95"/>
      <c r="AL4" s="95"/>
      <c r="AM4" s="95"/>
      <c r="AN4" s="95"/>
      <c r="AO4" s="95"/>
      <c r="AP4" s="95"/>
      <c r="AQ4" s="95"/>
    </row>
    <row r="5" spans="1:26" s="100" customFormat="1" ht="12.75">
      <c r="A5" s="100" t="str">
        <f>CONCATENATE(B5,C5)</f>
        <v>2A9</v>
      </c>
      <c r="B5" s="12" t="s">
        <v>64</v>
      </c>
      <c r="C5" s="12">
        <v>9</v>
      </c>
      <c r="D5" s="30">
        <v>14</v>
      </c>
      <c r="E5" s="12" t="s">
        <v>587</v>
      </c>
      <c r="F5" s="166"/>
      <c r="G5" s="15" t="str">
        <f>'LDC Account Table'!$B$2</f>
        <v>LDCDUNS##</v>
      </c>
      <c r="H5" s="15" t="str">
        <f>'Supplier Account Table'!$B$2</f>
        <v>SUPDUNS##</v>
      </c>
      <c r="I5" s="179">
        <f>VLOOKUP(B5,File_Dates,2,FALSE)</f>
        <v>35979</v>
      </c>
      <c r="J5" s="42" t="s">
        <v>216</v>
      </c>
      <c r="K5" s="12" t="str">
        <f>'Supplier Account Table'!A27</f>
        <v>S0000000000022</v>
      </c>
      <c r="L5" s="12" t="str">
        <f>'Test Customer Information'!A25</f>
        <v>D0000000000022</v>
      </c>
      <c r="M5" s="12" t="str">
        <f>LEFT(VLOOKUP(L5,Customer_File,3,FALSE),4)</f>
        <v>ASTO</v>
      </c>
      <c r="N5" s="33">
        <f>O5-30</f>
        <v>35863</v>
      </c>
      <c r="O5" s="33">
        <f>R5</f>
        <v>35893</v>
      </c>
      <c r="P5" s="12">
        <v>3000</v>
      </c>
      <c r="Q5" s="44">
        <v>60</v>
      </c>
      <c r="R5" s="33">
        <f>S5-30</f>
        <v>35893</v>
      </c>
      <c r="S5" s="192">
        <f>V5</f>
        <v>35923</v>
      </c>
      <c r="T5" s="12">
        <v>1000</v>
      </c>
      <c r="U5" s="177">
        <v>30</v>
      </c>
      <c r="V5" s="33">
        <f>W5-30</f>
        <v>35923</v>
      </c>
      <c r="W5" s="192">
        <f>VLOOKUP(VLOOKUP(L5,Customer_File,9,FALSE),July,2,FALSE)-30</f>
        <v>35953</v>
      </c>
      <c r="X5" s="12">
        <v>1000</v>
      </c>
      <c r="Y5" s="44">
        <v>40</v>
      </c>
      <c r="Z5" s="44">
        <v>0</v>
      </c>
    </row>
  </sheetData>
  <printOptions/>
  <pageMargins left="0.75" right="0.75" top="1" bottom="1" header="0.5" footer="0.5"/>
  <pageSetup fitToHeight="3" fitToWidth="1" horizontalDpi="600" verticalDpi="600" orientation="landscape" scale="50" r:id="rId1"/>
  <headerFooter alignWithMargins="0">
    <oddHeader>&amp;CEBT Test Conditions
&amp;A</oddHeader>
    <oddFooter>&amp;LVersion 5.0&amp;CPage &amp;P&amp;RIssued:  June 25, 1999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EBT Test Scenarios</dc:title>
  <dc:subject>EBT Test Scenarios</dc:subject>
  <dc:creator>Doug Goodrich</dc:creator>
  <cp:keywords/>
  <dc:description/>
  <cp:lastModifiedBy>nyede</cp:lastModifiedBy>
  <cp:lastPrinted>1999-07-06T20:20:03Z</cp:lastPrinted>
  <dcterms:created xsi:type="dcterms:W3CDTF">1998-01-11T07:37:30Z</dcterms:created>
  <dcterms:modified xsi:type="dcterms:W3CDTF">2004-07-02T20:50:43Z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-1534322448</vt:i4>
  </property>
  <property fmtid="{D5CDD505-2E9C-101B-9397-08002B2CF9AE}" pid="4" name="_EmailSubje">
    <vt:lpwstr>MAEBT Website Update</vt:lpwstr>
  </property>
  <property fmtid="{D5CDD505-2E9C-101B-9397-08002B2CF9AE}" pid="5" name="_AuthorEma">
    <vt:lpwstr>DAVID.NYE@us.ngrid.com</vt:lpwstr>
  </property>
  <property fmtid="{D5CDD505-2E9C-101B-9397-08002B2CF9AE}" pid="6" name="_AuthorEmailDisplayNa">
    <vt:lpwstr>Nye, David E.</vt:lpwstr>
  </property>
</Properties>
</file>